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Ind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25" i="1" l="1"/>
  <c r="D225" i="1" s="1"/>
  <c r="C224" i="1"/>
  <c r="D224" i="1" s="1"/>
  <c r="C223" i="1"/>
  <c r="D223" i="1" s="1"/>
  <c r="C222" i="1"/>
  <c r="D222" i="1" s="1"/>
  <c r="D221" i="1"/>
  <c r="D220" i="1"/>
  <c r="C219" i="1"/>
  <c r="D219" i="1" s="1"/>
  <c r="C218" i="1"/>
  <c r="D218" i="1" s="1"/>
  <c r="C217" i="1"/>
  <c r="D217" i="1" s="1"/>
  <c r="D216" i="1"/>
  <c r="D215" i="1"/>
  <c r="D214" i="1"/>
  <c r="C213" i="1"/>
  <c r="D213" i="1" s="1"/>
  <c r="D207" i="1"/>
  <c r="D206" i="1"/>
  <c r="D205" i="1"/>
  <c r="D204" i="1"/>
  <c r="D203" i="1"/>
  <c r="D202" i="1"/>
  <c r="D201" i="1"/>
  <c r="D200" i="1"/>
  <c r="C199" i="1"/>
  <c r="D199" i="1" s="1"/>
  <c r="C198" i="1"/>
  <c r="D198" i="1" s="1"/>
  <c r="D197" i="1"/>
  <c r="D196" i="1"/>
  <c r="D195" i="1"/>
  <c r="D194" i="1"/>
  <c r="D193" i="1"/>
  <c r="D192" i="1"/>
  <c r="D191" i="1"/>
  <c r="D190" i="1"/>
  <c r="C189" i="1"/>
  <c r="D189" i="1" s="1"/>
  <c r="D188" i="1"/>
  <c r="D187" i="1"/>
  <c r="D186" i="1"/>
  <c r="D185" i="1"/>
  <c r="D184" i="1"/>
  <c r="D183" i="1"/>
  <c r="D182" i="1"/>
  <c r="D181" i="1"/>
  <c r="D180" i="1"/>
  <c r="D179" i="1"/>
  <c r="D210" i="1" s="1"/>
  <c r="H31" i="1" s="1"/>
  <c r="D178" i="1"/>
  <c r="C172" i="1"/>
  <c r="D172" i="1" s="1"/>
  <c r="C171" i="1"/>
  <c r="D171" i="1" s="1"/>
  <c r="C170" i="1"/>
  <c r="D170" i="1" s="1"/>
  <c r="D169" i="1"/>
  <c r="C168" i="1"/>
  <c r="D168" i="1" s="1"/>
  <c r="D167" i="1"/>
  <c r="D166" i="1"/>
  <c r="D165" i="1"/>
  <c r="C164" i="1"/>
  <c r="D164" i="1" s="1"/>
  <c r="D163" i="1"/>
  <c r="C162" i="1"/>
  <c r="D162" i="1" s="1"/>
  <c r="D161" i="1"/>
  <c r="D160" i="1"/>
  <c r="D159" i="1"/>
  <c r="C158" i="1"/>
  <c r="D158" i="1" s="1"/>
  <c r="D157" i="1"/>
  <c r="C156" i="1"/>
  <c r="D156" i="1" s="1"/>
  <c r="D155" i="1"/>
  <c r="C154" i="1"/>
  <c r="D154" i="1" s="1"/>
  <c r="C153" i="1"/>
  <c r="D153" i="1" s="1"/>
  <c r="C152" i="1"/>
  <c r="D152" i="1" s="1"/>
  <c r="D151" i="1"/>
  <c r="D150" i="1"/>
  <c r="D149" i="1"/>
  <c r="D148" i="1"/>
  <c r="C147" i="1"/>
  <c r="D147" i="1" s="1"/>
  <c r="D146" i="1"/>
  <c r="D145" i="1"/>
  <c r="D144" i="1"/>
  <c r="D143" i="1"/>
  <c r="C143" i="1"/>
  <c r="D142" i="1"/>
  <c r="D141" i="1"/>
  <c r="D140" i="1"/>
  <c r="C139" i="1"/>
  <c r="D139" i="1" s="1"/>
  <c r="C138" i="1"/>
  <c r="D138" i="1" s="1"/>
  <c r="C137" i="1"/>
  <c r="D137" i="1" s="1"/>
  <c r="D136" i="1"/>
  <c r="D135" i="1"/>
  <c r="D175" i="1" s="1"/>
  <c r="H30" i="1" s="1"/>
  <c r="C128" i="1"/>
  <c r="D128" i="1" s="1"/>
  <c r="D127" i="1"/>
  <c r="C127" i="1"/>
  <c r="C126" i="1"/>
  <c r="D126" i="1" s="1"/>
  <c r="D125" i="1"/>
  <c r="C125" i="1"/>
  <c r="C124" i="1"/>
  <c r="D124" i="1" s="1"/>
  <c r="D123" i="1"/>
  <c r="C123" i="1"/>
  <c r="C122" i="1"/>
  <c r="D122" i="1" s="1"/>
  <c r="D121" i="1"/>
  <c r="C121" i="1"/>
  <c r="C120" i="1"/>
  <c r="D120" i="1" s="1"/>
  <c r="D119" i="1"/>
  <c r="C119" i="1"/>
  <c r="C118" i="1"/>
  <c r="D118" i="1" s="1"/>
  <c r="D117" i="1"/>
  <c r="C117" i="1"/>
  <c r="C116" i="1"/>
  <c r="D116" i="1" s="1"/>
  <c r="D115" i="1"/>
  <c r="C115" i="1"/>
  <c r="C114" i="1"/>
  <c r="D114" i="1" s="1"/>
  <c r="D113" i="1"/>
  <c r="C113" i="1"/>
  <c r="D112" i="1"/>
  <c r="C111" i="1"/>
  <c r="D111" i="1" s="1"/>
  <c r="C110" i="1"/>
  <c r="D110" i="1" s="1"/>
  <c r="C109" i="1"/>
  <c r="D109" i="1" s="1"/>
  <c r="C108" i="1"/>
  <c r="D108" i="1" s="1"/>
  <c r="C107" i="1"/>
  <c r="D107" i="1" s="1"/>
  <c r="D106" i="1"/>
  <c r="C105" i="1"/>
  <c r="D105" i="1" s="1"/>
  <c r="D104" i="1"/>
  <c r="C103" i="1"/>
  <c r="D103" i="1" s="1"/>
  <c r="C102" i="1"/>
  <c r="D102" i="1" s="1"/>
  <c r="D101" i="1"/>
  <c r="D100" i="1"/>
  <c r="C99" i="1"/>
  <c r="D99" i="1" s="1"/>
  <c r="C98" i="1"/>
  <c r="D98" i="1" s="1"/>
  <c r="D97" i="1"/>
  <c r="C97" i="1"/>
  <c r="C96" i="1"/>
  <c r="D96" i="1" s="1"/>
  <c r="D95" i="1"/>
  <c r="D94" i="1"/>
  <c r="C94" i="1"/>
  <c r="C93" i="1"/>
  <c r="D93" i="1" s="1"/>
  <c r="D92" i="1"/>
  <c r="C92" i="1"/>
  <c r="C91" i="1"/>
  <c r="D91" i="1" s="1"/>
  <c r="D90" i="1"/>
  <c r="C90" i="1"/>
  <c r="C89" i="1"/>
  <c r="D89" i="1" s="1"/>
  <c r="D88" i="1"/>
  <c r="C88" i="1"/>
  <c r="C87" i="1"/>
  <c r="D87" i="1" s="1"/>
  <c r="D86" i="1"/>
  <c r="C86" i="1"/>
  <c r="C85" i="1"/>
  <c r="D85" i="1" s="1"/>
  <c r="D84" i="1"/>
  <c r="C84" i="1"/>
  <c r="C83" i="1"/>
  <c r="D83" i="1" s="1"/>
  <c r="D82" i="1"/>
  <c r="C82" i="1"/>
  <c r="C81" i="1"/>
  <c r="D81" i="1" s="1"/>
  <c r="D80" i="1"/>
  <c r="C79" i="1"/>
  <c r="D79" i="1" s="1"/>
  <c r="C78" i="1"/>
  <c r="D78" i="1" s="1"/>
  <c r="C77" i="1"/>
  <c r="D77" i="1" s="1"/>
  <c r="D76" i="1"/>
  <c r="D75" i="1"/>
  <c r="C75" i="1"/>
  <c r="C74" i="1"/>
  <c r="D74" i="1" s="1"/>
  <c r="D73" i="1"/>
  <c r="C73" i="1"/>
  <c r="C72" i="1"/>
  <c r="D72" i="1" s="1"/>
  <c r="D71" i="1"/>
  <c r="C71" i="1"/>
  <c r="C70" i="1"/>
  <c r="D70" i="1" s="1"/>
  <c r="D69" i="1"/>
  <c r="C69" i="1"/>
  <c r="C68" i="1"/>
  <c r="D68" i="1" s="1"/>
  <c r="D67" i="1"/>
  <c r="C67" i="1"/>
  <c r="D66" i="1"/>
  <c r="D65" i="1"/>
  <c r="C65" i="1"/>
  <c r="C64" i="1"/>
  <c r="D64" i="1" s="1"/>
  <c r="C63" i="1"/>
  <c r="D63" i="1" s="1"/>
  <c r="C62" i="1"/>
  <c r="D62" i="1" s="1"/>
  <c r="D61" i="1"/>
  <c r="C61" i="1"/>
  <c r="C60" i="1"/>
  <c r="D60" i="1" s="1"/>
  <c r="C59" i="1"/>
  <c r="D59" i="1" s="1"/>
  <c r="C58" i="1"/>
  <c r="D58" i="1" s="1"/>
  <c r="D57" i="1"/>
  <c r="C57" i="1"/>
  <c r="D56" i="1"/>
  <c r="C55" i="1"/>
  <c r="D55" i="1" s="1"/>
  <c r="D54" i="1"/>
  <c r="C54" i="1"/>
  <c r="C53" i="1"/>
  <c r="D53" i="1" s="1"/>
  <c r="D52" i="1"/>
  <c r="D51" i="1"/>
  <c r="C50" i="1"/>
  <c r="D50" i="1" s="1"/>
  <c r="D49" i="1"/>
  <c r="C49" i="1"/>
  <c r="C48" i="1"/>
  <c r="D48" i="1" s="1"/>
  <c r="D47" i="1"/>
  <c r="C46" i="1"/>
  <c r="D46" i="1" s="1"/>
  <c r="C45" i="1"/>
  <c r="D45" i="1" s="1"/>
  <c r="C44" i="1"/>
  <c r="D44" i="1" s="1"/>
  <c r="D43" i="1"/>
  <c r="C43" i="1"/>
  <c r="C42" i="1"/>
  <c r="D42" i="1" s="1"/>
  <c r="H41" i="1"/>
  <c r="C41" i="1"/>
  <c r="D41" i="1" s="1"/>
  <c r="C40" i="1"/>
  <c r="D40" i="1" s="1"/>
  <c r="D39" i="1"/>
  <c r="D38" i="1"/>
  <c r="C38" i="1"/>
  <c r="C37" i="1"/>
  <c r="D37" i="1" s="1"/>
  <c r="C36" i="1"/>
  <c r="D36" i="1" s="1"/>
  <c r="H35" i="1"/>
  <c r="C35" i="1"/>
  <c r="D35" i="1" s="1"/>
  <c r="D34" i="1"/>
  <c r="C34" i="1"/>
  <c r="C33" i="1"/>
  <c r="D33" i="1" s="1"/>
  <c r="C32" i="1"/>
  <c r="D32" i="1" s="1"/>
  <c r="D31" i="1"/>
  <c r="C31" i="1"/>
  <c r="C30" i="1"/>
  <c r="D30" i="1" s="1"/>
  <c r="C29" i="1"/>
  <c r="D29" i="1" s="1"/>
  <c r="C28" i="1"/>
  <c r="D28" i="1" s="1"/>
  <c r="D27" i="1"/>
  <c r="C27" i="1"/>
  <c r="D21" i="1"/>
  <c r="D20" i="1"/>
  <c r="C20" i="1"/>
  <c r="D19" i="1"/>
  <c r="D18" i="1"/>
  <c r="D17" i="1"/>
  <c r="C16" i="1"/>
  <c r="D16" i="1" s="1"/>
  <c r="D15" i="1"/>
  <c r="D14" i="1"/>
  <c r="D13" i="1"/>
  <c r="D12" i="1"/>
  <c r="D11" i="1"/>
  <c r="D10" i="1"/>
  <c r="A1" i="1"/>
  <c r="D132" i="1" l="1"/>
  <c r="H29" i="1" s="1"/>
  <c r="D229" i="1"/>
  <c r="H32" i="1" s="1"/>
  <c r="D24" i="1"/>
  <c r="H27" i="1" l="1"/>
  <c r="H38" i="1" s="1"/>
  <c r="H42" i="1" s="1"/>
  <c r="H28" i="1"/>
</calcChain>
</file>

<file path=xl/sharedStrings.xml><?xml version="1.0" encoding="utf-8"?>
<sst xmlns="http://schemas.openxmlformats.org/spreadsheetml/2006/main" count="438" uniqueCount="227">
  <si>
    <t>PAYS:</t>
  </si>
  <si>
    <t>Inde</t>
  </si>
  <si>
    <t>Nb jours:</t>
  </si>
  <si>
    <t>Arrivée le 6 Novembre 2012 et départ le 11 Novembre 2012 (non inclus)</t>
  </si>
  <si>
    <t>Monnaie:</t>
  </si>
  <si>
    <t>Roupie indienne</t>
  </si>
  <si>
    <t>Taux de change (1€=):</t>
  </si>
  <si>
    <t>Ville</t>
  </si>
  <si>
    <t>Hotel</t>
  </si>
  <si>
    <t>Prix/pers (devise)</t>
  </si>
  <si>
    <t>Prix/pers (€)</t>
  </si>
  <si>
    <t>Varanasi</t>
  </si>
  <si>
    <t>Elvis Guesthouse (3 nuits)</t>
  </si>
  <si>
    <t>Khajuraho</t>
  </si>
  <si>
    <t>Surya Hotel (1 nuit)</t>
  </si>
  <si>
    <t>Agra</t>
  </si>
  <si>
    <t>Raj Guesthouse (3 nuits)</t>
  </si>
  <si>
    <t>Delhi</t>
  </si>
  <si>
    <t>New King Hotel (3 nuits)</t>
  </si>
  <si>
    <t>Amritsar</t>
  </si>
  <si>
    <t>Golden Temple (1 nuit)</t>
  </si>
  <si>
    <t>Jaipur</t>
  </si>
  <si>
    <t>Stephels Guest House (2 nuits)</t>
  </si>
  <si>
    <t>Puskar</t>
  </si>
  <si>
    <t>Hotel White House (3 nuits)</t>
  </si>
  <si>
    <t>Bundi</t>
  </si>
  <si>
    <t>Raj Mahal Haveli (1 nuit)</t>
  </si>
  <si>
    <t>Jodhpur</t>
  </si>
  <si>
    <t>Shivam Paying Guesthouse (1 nuit)</t>
  </si>
  <si>
    <t>Jaisalmer</t>
  </si>
  <si>
    <t>Jaisal View Hotel &amp; Guesthouse (2 nuits)</t>
  </si>
  <si>
    <t>Udaipur</t>
  </si>
  <si>
    <t>Hanuman Ghat Hotel (3 nuits)</t>
  </si>
  <si>
    <t>Mumbai</t>
  </si>
  <si>
    <t>Particulier (Ajay) (2 nuits)</t>
  </si>
  <si>
    <t>Logement</t>
  </si>
  <si>
    <t>TOTAL Hotels</t>
  </si>
  <si>
    <t>Restaurant</t>
  </si>
  <si>
    <t>Coût par jour / personne (€):</t>
  </si>
  <si>
    <r>
      <t>Lumbini (</t>
    </r>
    <r>
      <rPr>
        <b/>
        <i/>
        <sz val="10"/>
        <color indexed="19"/>
        <rFont val="Arial"/>
        <family val="2"/>
      </rPr>
      <t>Népal</t>
    </r>
    <r>
      <rPr>
        <sz val="10"/>
        <color indexed="19"/>
        <rFont val="Arial"/>
        <family val="2"/>
      </rPr>
      <t>)</t>
    </r>
  </si>
  <si>
    <t>Petit déj</t>
  </si>
  <si>
    <t>Total:</t>
  </si>
  <si>
    <t>Repas midi</t>
  </si>
  <si>
    <t>Logements:</t>
  </si>
  <si>
    <t>Gorakpuhr</t>
  </si>
  <si>
    <t>Repas soir</t>
  </si>
  <si>
    <t>Repas:</t>
  </si>
  <si>
    <t>Elvis Guesthouse (petit dej)</t>
  </si>
  <si>
    <t>Transports:</t>
  </si>
  <si>
    <t>Dolphin Restaurant (soir)</t>
  </si>
  <si>
    <t>Excursions:</t>
  </si>
  <si>
    <t>Autres:</t>
  </si>
  <si>
    <t>Milan Café (midi)</t>
  </si>
  <si>
    <t>Elvis Guesthouse (repas soir)</t>
  </si>
  <si>
    <t>VISA</t>
  </si>
  <si>
    <t>Vol Portefeuille</t>
  </si>
  <si>
    <t>Changement dates Vol</t>
  </si>
  <si>
    <t>Achats provisions train</t>
  </si>
  <si>
    <t>Prévisionnel</t>
  </si>
  <si>
    <t>Surrya Hotel (petit dej)</t>
  </si>
  <si>
    <t>Madras Coffee House (midi)</t>
  </si>
  <si>
    <t>Restau italien (soir)</t>
  </si>
  <si>
    <t>Achat provisions pour midi</t>
  </si>
  <si>
    <t>Raj Guesthouse (soir)</t>
  </si>
  <si>
    <t>Raj Guesthouse (petit dej)</t>
  </si>
  <si>
    <t>Achat provisions</t>
  </si>
  <si>
    <t>Shanti Guesthouse (soir)</t>
  </si>
  <si>
    <t>Shanti Guesthouse (petit dej)</t>
  </si>
  <si>
    <t>Fatehpur Sikri</t>
  </si>
  <si>
    <t>Glaces</t>
  </si>
  <si>
    <t>Tadka (midi)</t>
  </si>
  <si>
    <t>Indian restaurant</t>
  </si>
  <si>
    <t>Achats bananes</t>
  </si>
  <si>
    <t>Mac Do (midi)</t>
  </si>
  <si>
    <t>Tadka (soir)</t>
  </si>
  <si>
    <t>Dunkin Donuts (midi)</t>
  </si>
  <si>
    <t>Provisions</t>
  </si>
  <si>
    <t>KFC (soir)</t>
  </si>
  <si>
    <t>Temple d'or (midi + soir + petit dej)</t>
  </si>
  <si>
    <t>Stephels Guest House (petit dej)</t>
  </si>
  <si>
    <t>Mc Do (midi)</t>
  </si>
  <si>
    <t>Dominos (soir)</t>
  </si>
  <si>
    <t>City Palace restaurant (midi)</t>
  </si>
  <si>
    <t>Stephels Guest House (soir)</t>
  </si>
  <si>
    <t>Pushkar</t>
  </si>
  <si>
    <t>Hotel White House (midi)</t>
  </si>
  <si>
    <t>The sixth sens (soir)</t>
  </si>
  <si>
    <t>Eau + jus + bières</t>
  </si>
  <si>
    <t>Hotel White House (petit-dej)</t>
  </si>
  <si>
    <t>Eau + jus</t>
  </si>
  <si>
    <t>Gargotte (midi)</t>
  </si>
  <si>
    <t>Gargotte foire (soir)</t>
  </si>
  <si>
    <t>Bakery (petit dej)</t>
  </si>
  <si>
    <t>Gargotte (soir)</t>
  </si>
  <si>
    <t>Provisions (midi)</t>
  </si>
  <si>
    <t>Tom&amp; Jerry Restaurant (soir)</t>
  </si>
  <si>
    <t>Provisions (eau..)</t>
  </si>
  <si>
    <t>Fun and Food Restaurant (midi)</t>
  </si>
  <si>
    <t>Shivam Paying Guesthouse (petit dej)</t>
  </si>
  <si>
    <t>Midi</t>
  </si>
  <si>
    <t>Achat eau</t>
  </si>
  <si>
    <t>Achat provisions petit dej</t>
  </si>
  <si>
    <t>Midi (omelette shop + lassi)</t>
  </si>
  <si>
    <t>Shivam Paying Guesthouse (soir)</t>
  </si>
  <si>
    <t>Achat provisions (eau + petit dej)</t>
  </si>
  <si>
    <t>Jaisal View Hotel (petit dej)</t>
  </si>
  <si>
    <t>Bakery (midi)</t>
  </si>
  <si>
    <t>Achats (eau + petit dej)</t>
  </si>
  <si>
    <t>Chandan Shree Restaurant (soir)</t>
  </si>
  <si>
    <t>Peacock Restaurant (soir)</t>
  </si>
  <si>
    <t>Provisions Petit-dej</t>
  </si>
  <si>
    <t>Provisions (eau+ chewing)</t>
  </si>
  <si>
    <t>Udaipur (route)</t>
  </si>
  <si>
    <t>Hanunan Ghat Hotel (midi)</t>
  </si>
  <si>
    <t>Hanuman Ghat Hotel (soir)</t>
  </si>
  <si>
    <t>Sunset restaurant  (petit dej)</t>
  </si>
  <si>
    <t>Hanuman Hotel (aprem)</t>
  </si>
  <si>
    <t>Jasmine Restaurant (soir)</t>
  </si>
  <si>
    <t>Achat provisions (eau)</t>
  </si>
  <si>
    <t>Jasmine Restaurant (midi)</t>
  </si>
  <si>
    <t>Barwati Restaurant (soir)</t>
  </si>
  <si>
    <t>Provisions (eau…)</t>
  </si>
  <si>
    <t>Sunrise Restaurant (soir)</t>
  </si>
  <si>
    <t>Namaste Cafe (midi)</t>
  </si>
  <si>
    <t>Provisions (eau, petit dej….)</t>
  </si>
  <si>
    <t>Bananes</t>
  </si>
  <si>
    <t>Red Box Café (soir)</t>
  </si>
  <si>
    <t>Repas midi (street food)</t>
  </si>
  <si>
    <t>Repas soir (gargotte)</t>
  </si>
  <si>
    <t>Petit déj (aéroport)</t>
  </si>
  <si>
    <t>Repas</t>
  </si>
  <si>
    <t>TOTAL Repas</t>
  </si>
  <si>
    <t>Type</t>
  </si>
  <si>
    <t>Trajet</t>
  </si>
  <si>
    <t>Bus</t>
  </si>
  <si>
    <r>
      <t>Lumbini -&gt; Bhairawa (</t>
    </r>
    <r>
      <rPr>
        <b/>
        <i/>
        <sz val="10"/>
        <color indexed="19"/>
        <rFont val="Arial"/>
        <family val="2"/>
      </rPr>
      <t>Népal</t>
    </r>
    <r>
      <rPr>
        <sz val="10"/>
        <color indexed="19"/>
        <rFont val="Arial"/>
        <family val="2"/>
      </rPr>
      <t>)</t>
    </r>
  </si>
  <si>
    <t>Rickhsaw</t>
  </si>
  <si>
    <r>
      <t>Bhairawa -&gt; Sunauli (</t>
    </r>
    <r>
      <rPr>
        <b/>
        <i/>
        <sz val="10"/>
        <color indexed="19"/>
        <rFont val="Arial"/>
        <family val="2"/>
      </rPr>
      <t>Népal</t>
    </r>
    <r>
      <rPr>
        <sz val="10"/>
        <color indexed="19"/>
        <rFont val="Arial"/>
        <family val="2"/>
      </rPr>
      <t>)</t>
    </r>
  </si>
  <si>
    <t>Sunauli -&gt; Gorakpuhr</t>
  </si>
  <si>
    <t>Train</t>
  </si>
  <si>
    <t>Gorakpuhr -&gt; Varanasi</t>
  </si>
  <si>
    <t>Auto rickshaw</t>
  </si>
  <si>
    <t>gare -&gt; hotel Varanasi</t>
  </si>
  <si>
    <t>Varanasi -&gt; Khajuraho</t>
  </si>
  <si>
    <t>Gare Khajuraho -&gt; Hotel</t>
  </si>
  <si>
    <t>Hotel -&gt; Gare Khajuraho</t>
  </si>
  <si>
    <t>Khajuraho -&gt; Agra (2nde)</t>
  </si>
  <si>
    <t>Gare Agra -&gt; Hotel</t>
  </si>
  <si>
    <t>Hotel -&gt; Gare Agra</t>
  </si>
  <si>
    <t>Station Bus Agra -&gt; Hotel</t>
  </si>
  <si>
    <t>Hotel -&gt; Station train Agra</t>
  </si>
  <si>
    <t>Agra -&gt; Delhi</t>
  </si>
  <si>
    <t>Gare Delhi -&gt; Hotel</t>
  </si>
  <si>
    <t>Métro</t>
  </si>
  <si>
    <t>Carte 3 jours Delhi</t>
  </si>
  <si>
    <t>Tombe -&gt;Metro</t>
  </si>
  <si>
    <t>Delhi -&gt; Amritsar</t>
  </si>
  <si>
    <t>Rickshaw</t>
  </si>
  <si>
    <t>Gare Amritsar -&gt; Golden Temple A/R</t>
  </si>
  <si>
    <t>Amritsar -&gt; Jaipur</t>
  </si>
  <si>
    <t>Gare Jaipur -&gt; Hotel (commission)</t>
  </si>
  <si>
    <t>Jaipur centre -&gt; Ajmer</t>
  </si>
  <si>
    <t>Jaipur -&gt; Pushkar</t>
  </si>
  <si>
    <t>Pushkar -&gt; Bundi</t>
  </si>
  <si>
    <t>Bundi -&gt; Jodhpur</t>
  </si>
  <si>
    <t>Jodhpur Station bus -&gt; Hotel</t>
  </si>
  <si>
    <t>Hotel -&gt; Train station</t>
  </si>
  <si>
    <t>Jodhpur -&gt; Jaisalmer</t>
  </si>
  <si>
    <t>Jaisalmer -&gt; Gare</t>
  </si>
  <si>
    <t>Jaisalmer -&gt; Jodhpur</t>
  </si>
  <si>
    <t>Gare train -&gt; Gare routière Jodhpur</t>
  </si>
  <si>
    <t>Jodhpur -&gt; Udaipur</t>
  </si>
  <si>
    <t>Gare routière Udaipur -&gt; Hotel</t>
  </si>
  <si>
    <t>Udaipur -&gt; Bombay</t>
  </si>
  <si>
    <t>Udaipur (Hotel -&gt; Gare)</t>
  </si>
  <si>
    <t>Mumbai (Gare -&gt; Ajay)</t>
  </si>
  <si>
    <t>Train de banlieue</t>
  </si>
  <si>
    <t>Mumbai (Ajay -&gt; Itl Airport)</t>
  </si>
  <si>
    <t>Transports</t>
  </si>
  <si>
    <t>TOTAL Transports</t>
  </si>
  <si>
    <t>Excursion</t>
  </si>
  <si>
    <t>Tour Varanasi en auto rickshaw</t>
  </si>
  <si>
    <t>Bateau sunrise sur le Gange</t>
  </si>
  <si>
    <t>Visite temple + crémations</t>
  </si>
  <si>
    <t>Auto-rickshaw + visite temple</t>
  </si>
  <si>
    <t>Visite temples</t>
  </si>
  <si>
    <t>Taj Mahal</t>
  </si>
  <si>
    <t>Fort d'Agra</t>
  </si>
  <si>
    <t>Entrée site</t>
  </si>
  <si>
    <t>Red Fort</t>
  </si>
  <si>
    <t>Grande Mosquée</t>
  </si>
  <si>
    <t>Qutb Minar</t>
  </si>
  <si>
    <t>Frontière Indo-pakistanaise</t>
  </si>
  <si>
    <t>Visite minaret</t>
  </si>
  <si>
    <t>Cinéma + popcorn</t>
  </si>
  <si>
    <t>Fort d'Ajmer + musées</t>
  </si>
  <si>
    <t>City palace</t>
  </si>
  <si>
    <t>Grande roue (foire)</t>
  </si>
  <si>
    <t>Chameau pour lever de soleil</t>
  </si>
  <si>
    <t>Palace + Fort</t>
  </si>
  <si>
    <t>Rocher / Temple pour vue</t>
  </si>
  <si>
    <t>Jaswant Thada (Mémorial)</t>
  </si>
  <si>
    <t>Fort de Jodhpur</t>
  </si>
  <si>
    <t>Palace Jaisalmer</t>
  </si>
  <si>
    <t>Safari chameau (2 jours/1nuit + nuit retour)</t>
  </si>
  <si>
    <t>Safari (Pourboire)</t>
  </si>
  <si>
    <t>Musée City Palace</t>
  </si>
  <si>
    <t>Bateau et jamandir</t>
  </si>
  <si>
    <t>Cours de cuisine (Shashi)</t>
  </si>
  <si>
    <t>Spectacle danse/marionnettes</t>
  </si>
  <si>
    <t>Musée Haveli</t>
  </si>
  <si>
    <t>Excursions</t>
  </si>
  <si>
    <t>TOTAL Excursions</t>
  </si>
  <si>
    <t>Sunauli</t>
  </si>
  <si>
    <t>Frais de change</t>
  </si>
  <si>
    <t>Achat SIM Card &amp; crédit</t>
  </si>
  <si>
    <t>Achat magnet souvenir</t>
  </si>
  <si>
    <t>Achat Hygiène</t>
  </si>
  <si>
    <t>Souvenirs/Cadeaux</t>
  </si>
  <si>
    <t>Accès internet</t>
  </si>
  <si>
    <t>Laundry</t>
  </si>
  <si>
    <t>Achat mouchoirs</t>
  </si>
  <si>
    <t>Achat cartes postales + timbres</t>
  </si>
  <si>
    <t>Achat hygiène</t>
  </si>
  <si>
    <t>Barbier</t>
  </si>
  <si>
    <t>Autres</t>
  </si>
  <si>
    <t>TOTAL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</si>
</sst>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b/>
      <i/>
      <sz val="10"/>
      <color indexed="19"/>
      <name val="Arial"/>
      <family val="2"/>
    </font>
    <font>
      <sz val="10"/>
      <color indexed="19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/>
    <xf numFmtId="164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4" fontId="5" fillId="4" borderId="8" xfId="0" applyNumberFormat="1" applyFont="1" applyFill="1" applyBorder="1" applyAlignment="1">
      <alignment horizontal="center"/>
    </xf>
    <xf numFmtId="4" fontId="0" fillId="2" borderId="0" xfId="0" applyNumberFormat="1" applyFill="1"/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4" fillId="3" borderId="1" xfId="0" applyFont="1" applyFill="1" applyBorder="1"/>
    <xf numFmtId="4" fontId="4" fillId="3" borderId="3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5" borderId="15" xfId="0" applyFont="1" applyFill="1" applyBorder="1"/>
    <xf numFmtId="0" fontId="4" fillId="5" borderId="16" xfId="0" applyFont="1" applyFill="1" applyBorder="1"/>
    <xf numFmtId="2" fontId="4" fillId="5" borderId="17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0" fontId="5" fillId="4" borderId="18" xfId="0" applyFont="1" applyFill="1" applyBorder="1"/>
    <xf numFmtId="0" fontId="5" fillId="4" borderId="19" xfId="0" applyFont="1" applyFill="1" applyBorder="1" applyAlignment="1">
      <alignment horizontal="right"/>
    </xf>
    <xf numFmtId="2" fontId="5" fillId="4" borderId="20" xfId="0" applyNumberFormat="1" applyFont="1" applyFill="1" applyBorder="1" applyAlignment="1">
      <alignment horizontal="left"/>
    </xf>
    <xf numFmtId="0" fontId="5" fillId="4" borderId="21" xfId="0" applyFont="1" applyFill="1" applyBorder="1"/>
    <xf numFmtId="0" fontId="5" fillId="4" borderId="22" xfId="0" applyFont="1" applyFill="1" applyBorder="1" applyAlignment="1">
      <alignment horizontal="right"/>
    </xf>
    <xf numFmtId="2" fontId="5" fillId="4" borderId="23" xfId="0" applyNumberFormat="1" applyFont="1" applyFill="1" applyBorder="1" applyAlignment="1">
      <alignment horizontal="left"/>
    </xf>
    <xf numFmtId="0" fontId="5" fillId="4" borderId="22" xfId="0" applyFont="1" applyFill="1" applyBorder="1"/>
    <xf numFmtId="0" fontId="5" fillId="4" borderId="24" xfId="0" applyFont="1" applyFill="1" applyBorder="1"/>
    <xf numFmtId="0" fontId="5" fillId="4" borderId="25" xfId="0" applyFont="1" applyFill="1" applyBorder="1" applyAlignment="1">
      <alignment horizontal="right"/>
    </xf>
    <xf numFmtId="2" fontId="5" fillId="4" borderId="26" xfId="0" applyNumberFormat="1" applyFont="1" applyFill="1" applyBorder="1" applyAlignment="1">
      <alignment horizontal="left"/>
    </xf>
    <xf numFmtId="0" fontId="5" fillId="4" borderId="27" xfId="0" applyFont="1" applyFill="1" applyBorder="1"/>
    <xf numFmtId="0" fontId="5" fillId="4" borderId="28" xfId="0" applyFont="1" applyFill="1" applyBorder="1" applyAlignment="1">
      <alignment horizontal="right"/>
    </xf>
    <xf numFmtId="2" fontId="5" fillId="4" borderId="29" xfId="0" applyNumberFormat="1" applyFont="1" applyFill="1" applyBorder="1" applyAlignment="1">
      <alignment horizontal="left"/>
    </xf>
    <xf numFmtId="2" fontId="4" fillId="5" borderId="30" xfId="0" applyNumberFormat="1" applyFont="1" applyFill="1" applyBorder="1" applyAlignment="1">
      <alignment horizontal="center"/>
    </xf>
    <xf numFmtId="4" fontId="5" fillId="4" borderId="1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6" borderId="1" xfId="0" applyFont="1" applyFill="1" applyBorder="1"/>
    <xf numFmtId="4" fontId="10" fillId="6" borderId="3" xfId="0" applyNumberFormat="1" applyFont="1" applyFill="1" applyBorder="1" applyAlignment="1">
      <alignment horizontal="center"/>
    </xf>
    <xf numFmtId="0" fontId="4" fillId="4" borderId="1" xfId="0" applyFont="1" applyFill="1" applyBorder="1"/>
    <xf numFmtId="4" fontId="4" fillId="4" borderId="3" xfId="0" applyNumberFormat="1" applyFont="1" applyFill="1" applyBorder="1" applyAlignment="1">
      <alignment horizontal="center"/>
    </xf>
    <xf numFmtId="0" fontId="4" fillId="5" borderId="1" xfId="0" applyFont="1" applyFill="1" applyBorder="1"/>
    <xf numFmtId="4" fontId="4" fillId="5" borderId="3" xfId="0" applyNumberFormat="1" applyFont="1" applyFill="1" applyBorder="1" applyAlignment="1">
      <alignment horizontal="center"/>
    </xf>
    <xf numFmtId="0" fontId="10" fillId="7" borderId="1" xfId="0" applyFont="1" applyFill="1" applyBorder="1"/>
    <xf numFmtId="4" fontId="10" fillId="7" borderId="3" xfId="0" applyNumberFormat="1" applyFont="1" applyFill="1" applyBorder="1" applyAlignment="1">
      <alignment horizontal="center"/>
    </xf>
    <xf numFmtId="43" fontId="0" fillId="2" borderId="0" xfId="1" applyFont="1" applyFill="1"/>
    <xf numFmtId="43" fontId="0" fillId="2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Inde!$A$1</c:f>
          <c:strCache>
            <c:ptCount val="1"/>
            <c:pt idx="0">
              <c:v>BUDGET Inde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2.3143145568342419E-2"/>
                  <c:y val="4.015543993396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(Inde!$B$24,Inde!$B$132,Inde!$B$175,Inde!$B$210,Inde!$B$229)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(Inde!$D$24,Inde!$D$132,Inde!$D$175,Inde!$D$210,Inde!$D$229)</c:f>
              <c:numCache>
                <c:formatCode>#,##0.00</c:formatCode>
                <c:ptCount val="5"/>
                <c:pt idx="0">
                  <c:v>62.089871611982886</c:v>
                </c:pt>
                <c:pt idx="1">
                  <c:v>153.90678811545644</c:v>
                </c:pt>
                <c:pt idx="2">
                  <c:v>62.646960913825573</c:v>
                </c:pt>
                <c:pt idx="3">
                  <c:v>113.25962910128386</c:v>
                </c:pt>
                <c:pt idx="4">
                  <c:v>29.004992867332387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142875</xdr:rowOff>
    </xdr:from>
    <xdr:to>
      <xdr:col>11</xdr:col>
      <xdr:colOff>381000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M/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aits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"/>
      <sheetName val="Ile de Paques"/>
      <sheetName val="Chili"/>
      <sheetName val="Argentine"/>
      <sheetName val="Bolivie"/>
      <sheetName val="Perou"/>
      <sheetName val="Equateur"/>
    </sheetNames>
    <sheetDataSet>
      <sheetData sheetId="0"/>
      <sheetData sheetId="1"/>
      <sheetData sheetId="2"/>
      <sheetData sheetId="3"/>
      <sheetData sheetId="4">
        <row r="6">
          <cell r="B6">
            <v>108.16</v>
          </cell>
        </row>
      </sheetData>
      <sheetData sheetId="5">
        <row r="1">
          <cell r="A1" t="str">
            <v>BUDGET Inde</v>
          </cell>
        </row>
        <row r="24">
          <cell r="B24" t="str">
            <v>Logement</v>
          </cell>
          <cell r="D24">
            <v>62.089871611982886</v>
          </cell>
        </row>
        <row r="132">
          <cell r="B132" t="str">
            <v>Repas</v>
          </cell>
          <cell r="D132">
            <v>153.90678811545644</v>
          </cell>
        </row>
        <row r="175">
          <cell r="B175" t="str">
            <v>Transports</v>
          </cell>
          <cell r="D175">
            <v>62.646960913825573</v>
          </cell>
        </row>
        <row r="210">
          <cell r="B210" t="str">
            <v>Excursions</v>
          </cell>
          <cell r="D210">
            <v>113.25962910128386</v>
          </cell>
        </row>
        <row r="229">
          <cell r="B229" t="str">
            <v>Autres</v>
          </cell>
          <cell r="D229">
            <v>29.004992867332387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zoomScaleNormal="100" workbookViewId="0"/>
  </sheetViews>
  <sheetFormatPr baseColWidth="10" defaultRowHeight="12.75" x14ac:dyDescent="0.2"/>
  <cols>
    <col min="1" max="1" width="22" style="2" customWidth="1"/>
    <col min="2" max="2" width="34.85546875" style="2" customWidth="1"/>
    <col min="3" max="3" width="16.85546875" style="2" bestFit="1" customWidth="1"/>
    <col min="4" max="4" width="15.140625" style="4" customWidth="1"/>
    <col min="5" max="5" width="14.42578125" style="2" customWidth="1"/>
    <col min="6" max="16384" width="11.42578125" style="2"/>
  </cols>
  <sheetData>
    <row r="1" spans="1:5" x14ac:dyDescent="0.2">
      <c r="A1" s="1" t="str">
        <f>"BUDGET "&amp;B3</f>
        <v>BUDGET Inde</v>
      </c>
      <c r="C1" s="60"/>
      <c r="D1" s="61"/>
      <c r="E1" s="60"/>
    </row>
    <row r="3" spans="1:5" x14ac:dyDescent="0.2">
      <c r="A3" s="1" t="s">
        <v>0</v>
      </c>
      <c r="B3" s="3" t="s">
        <v>1</v>
      </c>
    </row>
    <row r="4" spans="1:5" x14ac:dyDescent="0.2">
      <c r="A4" s="1" t="s">
        <v>2</v>
      </c>
      <c r="B4" s="3">
        <v>35</v>
      </c>
      <c r="C4" s="2" t="s">
        <v>3</v>
      </c>
    </row>
    <row r="5" spans="1:5" x14ac:dyDescent="0.2">
      <c r="A5" s="1" t="s">
        <v>4</v>
      </c>
      <c r="B5" s="5" t="s">
        <v>5</v>
      </c>
    </row>
    <row r="6" spans="1:5" x14ac:dyDescent="0.2">
      <c r="A6" s="1" t="s">
        <v>6</v>
      </c>
      <c r="B6" s="3">
        <v>70.099999999999994</v>
      </c>
    </row>
    <row r="7" spans="1:5" x14ac:dyDescent="0.2">
      <c r="A7" s="1"/>
      <c r="B7" s="3"/>
    </row>
    <row r="8" spans="1:5" ht="13.5" thickBot="1" x14ac:dyDescent="0.25"/>
    <row r="9" spans="1:5" ht="14.25" thickTop="1" thickBot="1" x14ac:dyDescent="0.25">
      <c r="A9" s="6" t="s">
        <v>7</v>
      </c>
      <c r="B9" s="7" t="s">
        <v>8</v>
      </c>
      <c r="C9" s="7" t="s">
        <v>9</v>
      </c>
      <c r="D9" s="8" t="s">
        <v>10</v>
      </c>
    </row>
    <row r="10" spans="1:5" ht="13.5" thickTop="1" x14ac:dyDescent="0.2">
      <c r="A10" s="9" t="s">
        <v>11</v>
      </c>
      <c r="B10" s="10" t="s">
        <v>12</v>
      </c>
      <c r="C10" s="11">
        <v>450</v>
      </c>
      <c r="D10" s="12">
        <f t="shared" ref="D10:D21" si="0">C10/$B$6</f>
        <v>6.4194008559201148</v>
      </c>
    </row>
    <row r="11" spans="1:5" x14ac:dyDescent="0.2">
      <c r="A11" s="13" t="s">
        <v>13</v>
      </c>
      <c r="B11" s="14" t="s">
        <v>14</v>
      </c>
      <c r="C11" s="15">
        <v>165</v>
      </c>
      <c r="D11" s="16">
        <f t="shared" si="0"/>
        <v>2.3537803138373752</v>
      </c>
      <c r="E11" s="17"/>
    </row>
    <row r="12" spans="1:5" x14ac:dyDescent="0.2">
      <c r="A12" s="13" t="s">
        <v>15</v>
      </c>
      <c r="B12" s="14" t="s">
        <v>16</v>
      </c>
      <c r="C12" s="15">
        <v>450</v>
      </c>
      <c r="D12" s="16">
        <f t="shared" si="0"/>
        <v>6.4194008559201148</v>
      </c>
    </row>
    <row r="13" spans="1:5" x14ac:dyDescent="0.2">
      <c r="A13" s="13" t="s">
        <v>17</v>
      </c>
      <c r="B13" s="14" t="s">
        <v>18</v>
      </c>
      <c r="C13" s="15">
        <v>600</v>
      </c>
      <c r="D13" s="16">
        <f t="shared" si="0"/>
        <v>8.5592011412268203</v>
      </c>
    </row>
    <row r="14" spans="1:5" x14ac:dyDescent="0.2">
      <c r="A14" s="13" t="s">
        <v>19</v>
      </c>
      <c r="B14" s="14" t="s">
        <v>20</v>
      </c>
      <c r="C14" s="15">
        <v>0</v>
      </c>
      <c r="D14" s="16">
        <f t="shared" si="0"/>
        <v>0</v>
      </c>
    </row>
    <row r="15" spans="1:5" x14ac:dyDescent="0.2">
      <c r="A15" s="13" t="s">
        <v>21</v>
      </c>
      <c r="B15" s="14" t="s">
        <v>22</v>
      </c>
      <c r="C15" s="15">
        <v>400</v>
      </c>
      <c r="D15" s="16">
        <f t="shared" si="0"/>
        <v>5.7061340941512126</v>
      </c>
    </row>
    <row r="16" spans="1:5" x14ac:dyDescent="0.2">
      <c r="A16" s="13" t="s">
        <v>23</v>
      </c>
      <c r="B16" s="14" t="s">
        <v>24</v>
      </c>
      <c r="C16" s="15">
        <f>400*3</f>
        <v>1200</v>
      </c>
      <c r="D16" s="16">
        <f t="shared" si="0"/>
        <v>17.118402282453641</v>
      </c>
    </row>
    <row r="17" spans="1:8" x14ac:dyDescent="0.2">
      <c r="A17" s="13" t="s">
        <v>25</v>
      </c>
      <c r="B17" s="14" t="s">
        <v>26</v>
      </c>
      <c r="C17" s="15">
        <v>100</v>
      </c>
      <c r="D17" s="16">
        <f t="shared" si="0"/>
        <v>1.4265335235378032</v>
      </c>
      <c r="E17" s="17"/>
    </row>
    <row r="18" spans="1:8" x14ac:dyDescent="0.2">
      <c r="A18" s="13" t="s">
        <v>27</v>
      </c>
      <c r="B18" s="14" t="s">
        <v>28</v>
      </c>
      <c r="C18" s="15">
        <v>150</v>
      </c>
      <c r="D18" s="16">
        <f t="shared" si="0"/>
        <v>2.1398002853067051</v>
      </c>
      <c r="E18" s="17"/>
    </row>
    <row r="19" spans="1:8" x14ac:dyDescent="0.2">
      <c r="A19" s="13" t="s">
        <v>29</v>
      </c>
      <c r="B19" s="14" t="s">
        <v>30</v>
      </c>
      <c r="C19" s="15">
        <v>200</v>
      </c>
      <c r="D19" s="16">
        <f t="shared" si="0"/>
        <v>2.8530670470756063</v>
      </c>
      <c r="E19" s="17"/>
    </row>
    <row r="20" spans="1:8" x14ac:dyDescent="0.2">
      <c r="A20" s="13" t="s">
        <v>31</v>
      </c>
      <c r="B20" s="14" t="s">
        <v>32</v>
      </c>
      <c r="C20" s="15">
        <f>1275/2</f>
        <v>637.5</v>
      </c>
      <c r="D20" s="16">
        <f t="shared" si="0"/>
        <v>9.0941512125534949</v>
      </c>
    </row>
    <row r="21" spans="1:8" x14ac:dyDescent="0.2">
      <c r="A21" s="13" t="s">
        <v>33</v>
      </c>
      <c r="B21" s="14" t="s">
        <v>34</v>
      </c>
      <c r="C21" s="15">
        <v>0</v>
      </c>
      <c r="D21" s="16">
        <f t="shared" si="0"/>
        <v>0</v>
      </c>
    </row>
    <row r="22" spans="1:8" x14ac:dyDescent="0.2">
      <c r="A22" s="13"/>
      <c r="B22" s="14"/>
      <c r="C22" s="15"/>
      <c r="D22" s="18"/>
    </row>
    <row r="23" spans="1:8" ht="13.5" thickBot="1" x14ac:dyDescent="0.25">
      <c r="A23" s="19"/>
      <c r="B23" s="20"/>
      <c r="C23" s="21"/>
      <c r="D23" s="22"/>
    </row>
    <row r="24" spans="1:8" ht="14.25" thickTop="1" thickBot="1" x14ac:dyDescent="0.25">
      <c r="A24" s="23"/>
      <c r="B24" s="24" t="s">
        <v>35</v>
      </c>
      <c r="C24" s="25" t="s">
        <v>36</v>
      </c>
      <c r="D24" s="26">
        <f>SUM(D10:D23)</f>
        <v>62.089871611982886</v>
      </c>
    </row>
    <row r="25" spans="1:8" ht="14.25" thickTop="1" thickBot="1" x14ac:dyDescent="0.25">
      <c r="B25" s="4"/>
    </row>
    <row r="26" spans="1:8" ht="14.25" thickTop="1" thickBot="1" x14ac:dyDescent="0.25">
      <c r="A26" s="6" t="s">
        <v>7</v>
      </c>
      <c r="B26" s="7" t="s">
        <v>37</v>
      </c>
      <c r="C26" s="7" t="s">
        <v>9</v>
      </c>
      <c r="D26" s="8" t="s">
        <v>10</v>
      </c>
      <c r="F26" s="27" t="s">
        <v>38</v>
      </c>
      <c r="G26" s="28"/>
      <c r="H26" s="29"/>
    </row>
    <row r="27" spans="1:8" ht="14.25" thickTop="1" thickBot="1" x14ac:dyDescent="0.25">
      <c r="A27" s="9" t="s">
        <v>39</v>
      </c>
      <c r="B27" s="10" t="s">
        <v>40</v>
      </c>
      <c r="C27" s="11">
        <f>530/2</f>
        <v>265</v>
      </c>
      <c r="D27" s="12">
        <f>C27/[1]Népal!B6</f>
        <v>2.4500739644970415</v>
      </c>
      <c r="F27" s="30"/>
      <c r="G27" s="31" t="s">
        <v>41</v>
      </c>
      <c r="H27" s="32">
        <f>(D24+D132+D175+D210+D229)/$B$4</f>
        <v>12.025949788853746</v>
      </c>
    </row>
    <row r="28" spans="1:8" x14ac:dyDescent="0.2">
      <c r="A28" s="13" t="s">
        <v>39</v>
      </c>
      <c r="B28" s="14" t="s">
        <v>42</v>
      </c>
      <c r="C28" s="15">
        <f>117.5+20</f>
        <v>137.5</v>
      </c>
      <c r="D28" s="33">
        <f>C28/[1]Népal!B6</f>
        <v>1.2712647928994083</v>
      </c>
      <c r="F28" s="34"/>
      <c r="G28" s="35" t="s">
        <v>43</v>
      </c>
      <c r="H28" s="36">
        <f>D24/B4</f>
        <v>1.7739963317709395</v>
      </c>
    </row>
    <row r="29" spans="1:8" x14ac:dyDescent="0.2">
      <c r="A29" s="13" t="s">
        <v>44</v>
      </c>
      <c r="B29" s="14" t="s">
        <v>45</v>
      </c>
      <c r="C29" s="15">
        <f>267/2</f>
        <v>133.5</v>
      </c>
      <c r="D29" s="16">
        <f t="shared" ref="D29:D92" si="1">C29/$B$6</f>
        <v>1.9044222539229674</v>
      </c>
      <c r="F29" s="37"/>
      <c r="G29" s="38" t="s">
        <v>46</v>
      </c>
      <c r="H29" s="39">
        <f>D132/B4</f>
        <v>4.3973368032987556</v>
      </c>
    </row>
    <row r="30" spans="1:8" x14ac:dyDescent="0.2">
      <c r="A30" s="13" t="s">
        <v>11</v>
      </c>
      <c r="B30" s="14" t="s">
        <v>47</v>
      </c>
      <c r="C30" s="15">
        <f>180/2</f>
        <v>90</v>
      </c>
      <c r="D30" s="16">
        <f t="shared" si="1"/>
        <v>1.2838801711840229</v>
      </c>
      <c r="F30" s="37"/>
      <c r="G30" s="38" t="s">
        <v>48</v>
      </c>
      <c r="H30" s="39">
        <f>+D175/B4</f>
        <v>1.7899131689664449</v>
      </c>
    </row>
    <row r="31" spans="1:8" x14ac:dyDescent="0.2">
      <c r="A31" s="13" t="s">
        <v>11</v>
      </c>
      <c r="B31" s="14" t="s">
        <v>49</v>
      </c>
      <c r="C31" s="15">
        <f>430/2</f>
        <v>215</v>
      </c>
      <c r="D31" s="16">
        <f t="shared" si="1"/>
        <v>3.0670470756062769</v>
      </c>
      <c r="F31" s="37"/>
      <c r="G31" s="40" t="s">
        <v>50</v>
      </c>
      <c r="H31" s="39">
        <f>+D210/B4</f>
        <v>3.2359894028938245</v>
      </c>
    </row>
    <row r="32" spans="1:8" ht="13.5" thickBot="1" x14ac:dyDescent="0.25">
      <c r="A32" s="13" t="s">
        <v>11</v>
      </c>
      <c r="B32" s="14" t="s">
        <v>47</v>
      </c>
      <c r="C32" s="15">
        <f>180/2</f>
        <v>90</v>
      </c>
      <c r="D32" s="16">
        <f t="shared" si="1"/>
        <v>1.2838801711840229</v>
      </c>
      <c r="F32" s="41"/>
      <c r="G32" s="42" t="s">
        <v>51</v>
      </c>
      <c r="H32" s="43">
        <f>+D229/B4</f>
        <v>0.82871408192378249</v>
      </c>
    </row>
    <row r="33" spans="1:8" ht="13.5" thickBot="1" x14ac:dyDescent="0.25">
      <c r="A33" s="13" t="s">
        <v>11</v>
      </c>
      <c r="B33" s="14" t="s">
        <v>52</v>
      </c>
      <c r="C33" s="15">
        <f>260/2</f>
        <v>130</v>
      </c>
      <c r="D33" s="16">
        <f t="shared" si="1"/>
        <v>1.8544935805991443</v>
      </c>
    </row>
    <row r="34" spans="1:8" x14ac:dyDescent="0.2">
      <c r="A34" s="13" t="s">
        <v>11</v>
      </c>
      <c r="B34" s="14" t="s">
        <v>53</v>
      </c>
      <c r="C34" s="15">
        <f>165/2</f>
        <v>82.5</v>
      </c>
      <c r="D34" s="16">
        <f t="shared" si="1"/>
        <v>1.1768901569186876</v>
      </c>
      <c r="F34" s="44" t="s">
        <v>54</v>
      </c>
      <c r="G34" s="45"/>
      <c r="H34" s="46">
        <v>37.5</v>
      </c>
    </row>
    <row r="35" spans="1:8" x14ac:dyDescent="0.2">
      <c r="A35" s="13" t="s">
        <v>11</v>
      </c>
      <c r="B35" s="14" t="s">
        <v>47</v>
      </c>
      <c r="C35" s="15">
        <f>170/2</f>
        <v>85</v>
      </c>
      <c r="D35" s="16">
        <f t="shared" si="1"/>
        <v>1.2125534950071328</v>
      </c>
      <c r="F35" s="37" t="s">
        <v>55</v>
      </c>
      <c r="G35" s="38"/>
      <c r="H35" s="39">
        <f>1144/B6/2</f>
        <v>8.1597717546362354</v>
      </c>
    </row>
    <row r="36" spans="1:8" ht="13.5" thickBot="1" x14ac:dyDescent="0.25">
      <c r="A36" s="13" t="s">
        <v>11</v>
      </c>
      <c r="B36" s="14" t="s">
        <v>52</v>
      </c>
      <c r="C36" s="15">
        <f>180/2</f>
        <v>90</v>
      </c>
      <c r="D36" s="16">
        <f t="shared" si="1"/>
        <v>1.2838801711840229</v>
      </c>
      <c r="F36" s="41" t="s">
        <v>56</v>
      </c>
      <c r="G36" s="42"/>
      <c r="H36" s="43">
        <v>70</v>
      </c>
    </row>
    <row r="37" spans="1:8" ht="13.5" thickBot="1" x14ac:dyDescent="0.25">
      <c r="A37" s="13" t="s">
        <v>11</v>
      </c>
      <c r="B37" s="14" t="s">
        <v>53</v>
      </c>
      <c r="C37" s="15">
        <f>160/2</f>
        <v>80</v>
      </c>
      <c r="D37" s="16">
        <f t="shared" si="1"/>
        <v>1.1412268188302426</v>
      </c>
    </row>
    <row r="38" spans="1:8" ht="13.5" thickBot="1" x14ac:dyDescent="0.25">
      <c r="A38" s="13" t="s">
        <v>11</v>
      </c>
      <c r="B38" s="14" t="s">
        <v>47</v>
      </c>
      <c r="C38" s="15">
        <f>175/2-17.5</f>
        <v>70</v>
      </c>
      <c r="D38" s="16">
        <f t="shared" si="1"/>
        <v>0.99857346647646228</v>
      </c>
      <c r="F38" s="30"/>
      <c r="G38" s="31" t="s">
        <v>41</v>
      </c>
      <c r="H38" s="32">
        <f>H27*$B$4+H34+H36+H35</f>
        <v>536.56801436451735</v>
      </c>
    </row>
    <row r="39" spans="1:8" ht="13.5" thickBot="1" x14ac:dyDescent="0.25">
      <c r="A39" s="13" t="s">
        <v>11</v>
      </c>
      <c r="B39" s="14" t="s">
        <v>52</v>
      </c>
      <c r="C39" s="15">
        <v>110</v>
      </c>
      <c r="D39" s="16">
        <f t="shared" si="1"/>
        <v>1.5691868758915837</v>
      </c>
    </row>
    <row r="40" spans="1:8" ht="13.5" thickBot="1" x14ac:dyDescent="0.25">
      <c r="A40" s="13" t="s">
        <v>11</v>
      </c>
      <c r="B40" s="14" t="s">
        <v>57</v>
      </c>
      <c r="C40" s="15">
        <f>65/2</f>
        <v>32.5</v>
      </c>
      <c r="D40" s="16">
        <f t="shared" si="1"/>
        <v>0.46362339514978607</v>
      </c>
      <c r="F40" s="27" t="s">
        <v>58</v>
      </c>
      <c r="G40" s="28"/>
      <c r="H40" s="29"/>
    </row>
    <row r="41" spans="1:8" ht="13.5" thickBot="1" x14ac:dyDescent="0.25">
      <c r="A41" s="13" t="s">
        <v>13</v>
      </c>
      <c r="B41" s="14" t="s">
        <v>59</v>
      </c>
      <c r="C41" s="15">
        <f>180/2</f>
        <v>90</v>
      </c>
      <c r="D41" s="16">
        <f t="shared" si="1"/>
        <v>1.2838801711840229</v>
      </c>
      <c r="F41" s="30"/>
      <c r="G41" s="31" t="s">
        <v>41</v>
      </c>
      <c r="H41" s="32">
        <f>20*B4</f>
        <v>700</v>
      </c>
    </row>
    <row r="42" spans="1:8" ht="13.5" thickBot="1" x14ac:dyDescent="0.25">
      <c r="A42" s="13" t="s">
        <v>13</v>
      </c>
      <c r="B42" s="14" t="s">
        <v>60</v>
      </c>
      <c r="C42" s="15">
        <f>145/2</f>
        <v>72.5</v>
      </c>
      <c r="D42" s="16">
        <f t="shared" si="1"/>
        <v>1.0342368045649073</v>
      </c>
      <c r="H42" s="47">
        <f>H41-H38</f>
        <v>163.43198563548265</v>
      </c>
    </row>
    <row r="43" spans="1:8" x14ac:dyDescent="0.2">
      <c r="A43" s="13" t="s">
        <v>13</v>
      </c>
      <c r="B43" s="14" t="s">
        <v>61</v>
      </c>
      <c r="C43" s="15">
        <f>(280+70)/2</f>
        <v>175</v>
      </c>
      <c r="D43" s="16">
        <f t="shared" si="1"/>
        <v>2.4964336661911557</v>
      </c>
    </row>
    <row r="44" spans="1:8" x14ac:dyDescent="0.2">
      <c r="A44" s="13" t="s">
        <v>13</v>
      </c>
      <c r="B44" s="14" t="s">
        <v>62</v>
      </c>
      <c r="C44" s="15">
        <f>(60+15+45)/2</f>
        <v>60</v>
      </c>
      <c r="D44" s="16">
        <f t="shared" si="1"/>
        <v>0.85592011412268199</v>
      </c>
    </row>
    <row r="45" spans="1:8" x14ac:dyDescent="0.2">
      <c r="A45" s="13" t="s">
        <v>13</v>
      </c>
      <c r="B45" s="14" t="s">
        <v>59</v>
      </c>
      <c r="C45" s="15">
        <f>242/2</f>
        <v>121</v>
      </c>
      <c r="D45" s="16">
        <f t="shared" si="1"/>
        <v>1.7261055634807418</v>
      </c>
    </row>
    <row r="46" spans="1:8" x14ac:dyDescent="0.2">
      <c r="A46" s="13" t="s">
        <v>15</v>
      </c>
      <c r="B46" s="14" t="s">
        <v>63</v>
      </c>
      <c r="C46" s="15">
        <f>115/2</f>
        <v>57.5</v>
      </c>
      <c r="D46" s="16">
        <f t="shared" si="1"/>
        <v>0.82025677603423686</v>
      </c>
    </row>
    <row r="47" spans="1:8" x14ac:dyDescent="0.2">
      <c r="A47" s="13" t="s">
        <v>15</v>
      </c>
      <c r="B47" s="14" t="s">
        <v>64</v>
      </c>
      <c r="C47" s="15">
        <v>120</v>
      </c>
      <c r="D47" s="16">
        <f t="shared" si="1"/>
        <v>1.711840228245364</v>
      </c>
    </row>
    <row r="48" spans="1:8" x14ac:dyDescent="0.2">
      <c r="A48" s="13" t="s">
        <v>15</v>
      </c>
      <c r="B48" s="14" t="s">
        <v>65</v>
      </c>
      <c r="C48" s="15">
        <f>(65+15+20)/2</f>
        <v>50</v>
      </c>
      <c r="D48" s="16">
        <f t="shared" si="1"/>
        <v>0.71326676176890158</v>
      </c>
    </row>
    <row r="49" spans="1:4" x14ac:dyDescent="0.2">
      <c r="A49" s="13" t="s">
        <v>15</v>
      </c>
      <c r="B49" s="14" t="s">
        <v>66</v>
      </c>
      <c r="C49" s="15">
        <f>230/2</f>
        <v>115</v>
      </c>
      <c r="D49" s="16">
        <f t="shared" si="1"/>
        <v>1.6405135520684737</v>
      </c>
    </row>
    <row r="50" spans="1:4" x14ac:dyDescent="0.2">
      <c r="A50" s="13" t="s">
        <v>15</v>
      </c>
      <c r="B50" s="14" t="s">
        <v>65</v>
      </c>
      <c r="C50" s="15">
        <f>(15+30+45)/2</f>
        <v>45</v>
      </c>
      <c r="D50" s="16">
        <f t="shared" si="1"/>
        <v>0.64194008559201143</v>
      </c>
    </row>
    <row r="51" spans="1:4" x14ac:dyDescent="0.2">
      <c r="A51" s="13" t="s">
        <v>15</v>
      </c>
      <c r="B51" s="14" t="s">
        <v>67</v>
      </c>
      <c r="C51" s="15">
        <v>100</v>
      </c>
      <c r="D51" s="16">
        <f t="shared" si="1"/>
        <v>1.4265335235378032</v>
      </c>
    </row>
    <row r="52" spans="1:4" x14ac:dyDescent="0.2">
      <c r="A52" s="13" t="s">
        <v>68</v>
      </c>
      <c r="B52" s="14" t="s">
        <v>69</v>
      </c>
      <c r="C52" s="15">
        <v>30</v>
      </c>
      <c r="D52" s="16">
        <f t="shared" si="1"/>
        <v>0.42796005706134099</v>
      </c>
    </row>
    <row r="53" spans="1:4" x14ac:dyDescent="0.2">
      <c r="A53" s="13" t="s">
        <v>15</v>
      </c>
      <c r="B53" s="14" t="s">
        <v>66</v>
      </c>
      <c r="C53" s="15">
        <f>325/2</f>
        <v>162.5</v>
      </c>
      <c r="D53" s="16">
        <f t="shared" si="1"/>
        <v>2.3181169757489304</v>
      </c>
    </row>
    <row r="54" spans="1:4" x14ac:dyDescent="0.2">
      <c r="A54" s="13" t="s">
        <v>17</v>
      </c>
      <c r="B54" s="14" t="s">
        <v>70</v>
      </c>
      <c r="C54" s="15">
        <f>165/2</f>
        <v>82.5</v>
      </c>
      <c r="D54" s="16">
        <f t="shared" si="1"/>
        <v>1.1768901569186876</v>
      </c>
    </row>
    <row r="55" spans="1:4" x14ac:dyDescent="0.2">
      <c r="A55" s="13" t="s">
        <v>17</v>
      </c>
      <c r="B55" s="14" t="s">
        <v>71</v>
      </c>
      <c r="C55" s="15">
        <f>281/2</f>
        <v>140.5</v>
      </c>
      <c r="D55" s="16">
        <f t="shared" si="1"/>
        <v>2.0042796005706136</v>
      </c>
    </row>
    <row r="56" spans="1:4" x14ac:dyDescent="0.2">
      <c r="A56" s="13" t="s">
        <v>17</v>
      </c>
      <c r="B56" s="14" t="s">
        <v>72</v>
      </c>
      <c r="C56" s="15">
        <v>10</v>
      </c>
      <c r="D56" s="16">
        <f t="shared" si="1"/>
        <v>0.14265335235378032</v>
      </c>
    </row>
    <row r="57" spans="1:4" x14ac:dyDescent="0.2">
      <c r="A57" s="13" t="s">
        <v>17</v>
      </c>
      <c r="B57" s="14" t="s">
        <v>73</v>
      </c>
      <c r="C57" s="15">
        <f>414/2</f>
        <v>207</v>
      </c>
      <c r="D57" s="16">
        <f t="shared" si="1"/>
        <v>2.9529243937232525</v>
      </c>
    </row>
    <row r="58" spans="1:4" x14ac:dyDescent="0.2">
      <c r="A58" s="13" t="s">
        <v>17</v>
      </c>
      <c r="B58" s="14" t="s">
        <v>74</v>
      </c>
      <c r="C58" s="15">
        <f>305/2</f>
        <v>152.5</v>
      </c>
      <c r="D58" s="16">
        <f t="shared" si="1"/>
        <v>2.1754636233951499</v>
      </c>
    </row>
    <row r="59" spans="1:4" x14ac:dyDescent="0.2">
      <c r="A59" s="13" t="s">
        <v>17</v>
      </c>
      <c r="B59" s="14" t="s">
        <v>75</v>
      </c>
      <c r="C59" s="15">
        <f>439/2</f>
        <v>219.5</v>
      </c>
      <c r="D59" s="16">
        <f t="shared" si="1"/>
        <v>3.1312410841654783</v>
      </c>
    </row>
    <row r="60" spans="1:4" x14ac:dyDescent="0.2">
      <c r="A60" s="13" t="s">
        <v>17</v>
      </c>
      <c r="B60" s="14" t="s">
        <v>76</v>
      </c>
      <c r="C60" s="15">
        <f>(16+15+5)/2</f>
        <v>18</v>
      </c>
      <c r="D60" s="16">
        <f t="shared" si="1"/>
        <v>0.25677603423680456</v>
      </c>
    </row>
    <row r="61" spans="1:4" x14ac:dyDescent="0.2">
      <c r="A61" s="13" t="s">
        <v>17</v>
      </c>
      <c r="B61" s="14" t="s">
        <v>77</v>
      </c>
      <c r="C61" s="15">
        <f>453/2</f>
        <v>226.5</v>
      </c>
      <c r="D61" s="16">
        <f t="shared" si="1"/>
        <v>3.2310984308131245</v>
      </c>
    </row>
    <row r="62" spans="1:4" x14ac:dyDescent="0.2">
      <c r="A62" s="13" t="s">
        <v>17</v>
      </c>
      <c r="B62" s="14" t="s">
        <v>75</v>
      </c>
      <c r="C62" s="15">
        <f>422/2</f>
        <v>211</v>
      </c>
      <c r="D62" s="16">
        <f t="shared" si="1"/>
        <v>3.0099857346647649</v>
      </c>
    </row>
    <row r="63" spans="1:4" x14ac:dyDescent="0.2">
      <c r="A63" s="13" t="s">
        <v>17</v>
      </c>
      <c r="B63" s="14" t="s">
        <v>74</v>
      </c>
      <c r="C63" s="15">
        <f>120/2</f>
        <v>60</v>
      </c>
      <c r="D63" s="16">
        <f t="shared" si="1"/>
        <v>0.85592011412268199</v>
      </c>
    </row>
    <row r="64" spans="1:4" x14ac:dyDescent="0.2">
      <c r="A64" s="13" t="s">
        <v>17</v>
      </c>
      <c r="B64" s="14" t="s">
        <v>76</v>
      </c>
      <c r="C64" s="15">
        <f>30/2</f>
        <v>15</v>
      </c>
      <c r="D64" s="16">
        <f t="shared" si="1"/>
        <v>0.2139800285306705</v>
      </c>
    </row>
    <row r="65" spans="1:4" x14ac:dyDescent="0.2">
      <c r="A65" s="13" t="s">
        <v>19</v>
      </c>
      <c r="B65" s="14" t="s">
        <v>40</v>
      </c>
      <c r="C65" s="15">
        <f>205/2</f>
        <v>102.5</v>
      </c>
      <c r="D65" s="16">
        <f t="shared" si="1"/>
        <v>1.4621968616262484</v>
      </c>
    </row>
    <row r="66" spans="1:4" x14ac:dyDescent="0.2">
      <c r="A66" s="13" t="s">
        <v>19</v>
      </c>
      <c r="B66" s="14" t="s">
        <v>78</v>
      </c>
      <c r="C66" s="15">
        <v>0</v>
      </c>
      <c r="D66" s="16">
        <f t="shared" si="1"/>
        <v>0</v>
      </c>
    </row>
    <row r="67" spans="1:4" x14ac:dyDescent="0.2">
      <c r="A67" s="13" t="s">
        <v>19</v>
      </c>
      <c r="B67" s="14" t="s">
        <v>76</v>
      </c>
      <c r="C67" s="15">
        <f>(247+15)/2</f>
        <v>131</v>
      </c>
      <c r="D67" s="16">
        <f t="shared" si="1"/>
        <v>1.8687589158345224</v>
      </c>
    </row>
    <row r="68" spans="1:4" x14ac:dyDescent="0.2">
      <c r="A68" s="13" t="s">
        <v>21</v>
      </c>
      <c r="B68" s="14" t="s">
        <v>79</v>
      </c>
      <c r="C68" s="15">
        <f>225/2</f>
        <v>112.5</v>
      </c>
      <c r="D68" s="16">
        <f t="shared" si="1"/>
        <v>1.6048502139800287</v>
      </c>
    </row>
    <row r="69" spans="1:4" x14ac:dyDescent="0.2">
      <c r="A69" s="13" t="s">
        <v>21</v>
      </c>
      <c r="B69" s="14" t="s">
        <v>80</v>
      </c>
      <c r="C69" s="15">
        <f>181/2</f>
        <v>90.5</v>
      </c>
      <c r="D69" s="16">
        <f t="shared" si="1"/>
        <v>1.2910128388017119</v>
      </c>
    </row>
    <row r="70" spans="1:4" x14ac:dyDescent="0.2">
      <c r="A70" s="13" t="s">
        <v>21</v>
      </c>
      <c r="B70" s="14" t="s">
        <v>81</v>
      </c>
      <c r="C70" s="15">
        <f>229/2</f>
        <v>114.5</v>
      </c>
      <c r="D70" s="16">
        <f t="shared" si="1"/>
        <v>1.6333808844507847</v>
      </c>
    </row>
    <row r="71" spans="1:4" x14ac:dyDescent="0.2">
      <c r="A71" s="13" t="s">
        <v>21</v>
      </c>
      <c r="B71" s="14" t="s">
        <v>79</v>
      </c>
      <c r="C71" s="15">
        <f>255/2</f>
        <v>127.5</v>
      </c>
      <c r="D71" s="16">
        <f t="shared" si="1"/>
        <v>1.8188302425106992</v>
      </c>
    </row>
    <row r="72" spans="1:4" x14ac:dyDescent="0.2">
      <c r="A72" s="13" t="s">
        <v>21</v>
      </c>
      <c r="B72" s="14" t="s">
        <v>82</v>
      </c>
      <c r="C72" s="15">
        <f>525/2</f>
        <v>262.5</v>
      </c>
      <c r="D72" s="16">
        <f t="shared" si="1"/>
        <v>3.7446504992867333</v>
      </c>
    </row>
    <row r="73" spans="1:4" x14ac:dyDescent="0.2">
      <c r="A73" s="13" t="s">
        <v>21</v>
      </c>
      <c r="B73" s="14" t="s">
        <v>83</v>
      </c>
      <c r="C73" s="15">
        <f>(220+15)/2</f>
        <v>117.5</v>
      </c>
      <c r="D73" s="16">
        <f t="shared" si="1"/>
        <v>1.6761768901569187</v>
      </c>
    </row>
    <row r="74" spans="1:4" x14ac:dyDescent="0.2">
      <c r="A74" s="13" t="s">
        <v>21</v>
      </c>
      <c r="B74" s="14" t="s">
        <v>79</v>
      </c>
      <c r="C74" s="15">
        <f>175/2</f>
        <v>87.5</v>
      </c>
      <c r="D74" s="16">
        <f t="shared" si="1"/>
        <v>1.2482168330955778</v>
      </c>
    </row>
    <row r="75" spans="1:4" x14ac:dyDescent="0.2">
      <c r="A75" s="13" t="s">
        <v>84</v>
      </c>
      <c r="B75" s="14" t="s">
        <v>85</v>
      </c>
      <c r="C75" s="15">
        <f>308/2</f>
        <v>154</v>
      </c>
      <c r="D75" s="16">
        <f t="shared" si="1"/>
        <v>2.196861626248217</v>
      </c>
    </row>
    <row r="76" spans="1:4" x14ac:dyDescent="0.2">
      <c r="A76" s="13" t="s">
        <v>84</v>
      </c>
      <c r="B76" s="14" t="s">
        <v>86</v>
      </c>
      <c r="C76" s="15">
        <v>250</v>
      </c>
      <c r="D76" s="16">
        <f t="shared" si="1"/>
        <v>3.566333808844508</v>
      </c>
    </row>
    <row r="77" spans="1:4" x14ac:dyDescent="0.2">
      <c r="A77" s="13" t="s">
        <v>84</v>
      </c>
      <c r="B77" s="14" t="s">
        <v>87</v>
      </c>
      <c r="C77" s="15">
        <f>(70+300)/2</f>
        <v>185</v>
      </c>
      <c r="D77" s="16">
        <f t="shared" si="1"/>
        <v>2.6390870185449362</v>
      </c>
    </row>
    <row r="78" spans="1:4" x14ac:dyDescent="0.2">
      <c r="A78" s="13" t="s">
        <v>84</v>
      </c>
      <c r="B78" s="14" t="s">
        <v>88</v>
      </c>
      <c r="C78" s="15">
        <f>((65+40+49+90)*1.1)/2</f>
        <v>134.20000000000002</v>
      </c>
      <c r="D78" s="16">
        <f t="shared" si="1"/>
        <v>1.9144079885877323</v>
      </c>
    </row>
    <row r="79" spans="1:4" x14ac:dyDescent="0.2">
      <c r="A79" s="13" t="s">
        <v>84</v>
      </c>
      <c r="B79" s="14" t="s">
        <v>89</v>
      </c>
      <c r="C79" s="15">
        <f>(15*3+65)/2</f>
        <v>55</v>
      </c>
      <c r="D79" s="16">
        <f t="shared" si="1"/>
        <v>0.78459343794579184</v>
      </c>
    </row>
    <row r="80" spans="1:4" x14ac:dyDescent="0.2">
      <c r="A80" s="13" t="s">
        <v>84</v>
      </c>
      <c r="B80" s="14" t="s">
        <v>90</v>
      </c>
      <c r="C80" s="15">
        <v>50</v>
      </c>
      <c r="D80" s="16">
        <f t="shared" si="1"/>
        <v>0.71326676176890158</v>
      </c>
    </row>
    <row r="81" spans="1:4" x14ac:dyDescent="0.2">
      <c r="A81" s="13" t="s">
        <v>84</v>
      </c>
      <c r="B81" s="14" t="s">
        <v>91</v>
      </c>
      <c r="C81" s="15">
        <f>250/2</f>
        <v>125</v>
      </c>
      <c r="D81" s="16">
        <f t="shared" si="1"/>
        <v>1.783166904422254</v>
      </c>
    </row>
    <row r="82" spans="1:4" x14ac:dyDescent="0.2">
      <c r="A82" s="13" t="s">
        <v>84</v>
      </c>
      <c r="B82" s="14" t="s">
        <v>92</v>
      </c>
      <c r="C82" s="15">
        <f>200/2</f>
        <v>100</v>
      </c>
      <c r="D82" s="16">
        <f t="shared" si="1"/>
        <v>1.4265335235378032</v>
      </c>
    </row>
    <row r="83" spans="1:4" x14ac:dyDescent="0.2">
      <c r="A83" s="13" t="s">
        <v>84</v>
      </c>
      <c r="B83" s="14" t="s">
        <v>90</v>
      </c>
      <c r="C83" s="15">
        <f>240/2</f>
        <v>120</v>
      </c>
      <c r="D83" s="16">
        <f t="shared" si="1"/>
        <v>1.711840228245364</v>
      </c>
    </row>
    <row r="84" spans="1:4" x14ac:dyDescent="0.2">
      <c r="A84" s="13" t="s">
        <v>84</v>
      </c>
      <c r="B84" s="14" t="s">
        <v>93</v>
      </c>
      <c r="C84" s="15">
        <f>(100+15+10+30)/2</f>
        <v>77.5</v>
      </c>
      <c r="D84" s="16">
        <f t="shared" si="1"/>
        <v>1.1055634807417976</v>
      </c>
    </row>
    <row r="85" spans="1:4" x14ac:dyDescent="0.2">
      <c r="A85" s="13" t="s">
        <v>84</v>
      </c>
      <c r="B85" s="14" t="s">
        <v>88</v>
      </c>
      <c r="C85" s="15">
        <f>265.6/2</f>
        <v>132.80000000000001</v>
      </c>
      <c r="D85" s="16">
        <f t="shared" si="1"/>
        <v>1.8944365192582029</v>
      </c>
    </row>
    <row r="86" spans="1:4" x14ac:dyDescent="0.2">
      <c r="A86" s="13" t="s">
        <v>25</v>
      </c>
      <c r="B86" s="14" t="s">
        <v>94</v>
      </c>
      <c r="C86" s="15">
        <f>146/2</f>
        <v>73</v>
      </c>
      <c r="D86" s="16">
        <f t="shared" si="1"/>
        <v>1.0413694721825963</v>
      </c>
    </row>
    <row r="87" spans="1:4" x14ac:dyDescent="0.2">
      <c r="A87" s="13" t="s">
        <v>25</v>
      </c>
      <c r="B87" s="14" t="s">
        <v>95</v>
      </c>
      <c r="C87" s="15">
        <f>440/2</f>
        <v>220</v>
      </c>
      <c r="D87" s="16">
        <f t="shared" si="1"/>
        <v>3.1383737517831674</v>
      </c>
    </row>
    <row r="88" spans="1:4" x14ac:dyDescent="0.2">
      <c r="A88" s="13" t="s">
        <v>25</v>
      </c>
      <c r="B88" s="14" t="s">
        <v>96</v>
      </c>
      <c r="C88" s="15">
        <f>(15+15+15)/2</f>
        <v>22.5</v>
      </c>
      <c r="D88" s="16">
        <f t="shared" si="1"/>
        <v>0.32097004279600572</v>
      </c>
    </row>
    <row r="89" spans="1:4" x14ac:dyDescent="0.2">
      <c r="A89" s="13" t="s">
        <v>25</v>
      </c>
      <c r="B89" s="14" t="s">
        <v>40</v>
      </c>
      <c r="C89" s="15">
        <f>280/2</f>
        <v>140</v>
      </c>
      <c r="D89" s="16">
        <f t="shared" si="1"/>
        <v>1.9971469329529246</v>
      </c>
    </row>
    <row r="90" spans="1:4" x14ac:dyDescent="0.2">
      <c r="A90" s="13" t="s">
        <v>25</v>
      </c>
      <c r="B90" s="14" t="s">
        <v>97</v>
      </c>
      <c r="C90" s="15">
        <f>150/2</f>
        <v>75</v>
      </c>
      <c r="D90" s="16">
        <f t="shared" si="1"/>
        <v>1.0699001426533525</v>
      </c>
    </row>
    <row r="91" spans="1:4" x14ac:dyDescent="0.2">
      <c r="A91" s="13" t="s">
        <v>25</v>
      </c>
      <c r="B91" s="14" t="s">
        <v>95</v>
      </c>
      <c r="C91" s="15">
        <f>390/2</f>
        <v>195</v>
      </c>
      <c r="D91" s="16">
        <f t="shared" si="1"/>
        <v>2.7817403708987163</v>
      </c>
    </row>
    <row r="92" spans="1:4" x14ac:dyDescent="0.2">
      <c r="A92" s="13" t="s">
        <v>27</v>
      </c>
      <c r="B92" s="14" t="s">
        <v>98</v>
      </c>
      <c r="C92" s="15">
        <f>(140+65)/2</f>
        <v>102.5</v>
      </c>
      <c r="D92" s="16">
        <f t="shared" si="1"/>
        <v>1.4621968616262484</v>
      </c>
    </row>
    <row r="93" spans="1:4" x14ac:dyDescent="0.2">
      <c r="A93" s="13" t="s">
        <v>27</v>
      </c>
      <c r="B93" s="14" t="s">
        <v>99</v>
      </c>
      <c r="C93" s="15">
        <f>175/2</f>
        <v>87.5</v>
      </c>
      <c r="D93" s="16">
        <f t="shared" ref="D93:D128" si="2">C93/$B$6</f>
        <v>1.2482168330955778</v>
      </c>
    </row>
    <row r="94" spans="1:4" x14ac:dyDescent="0.2">
      <c r="A94" s="13" t="s">
        <v>27</v>
      </c>
      <c r="B94" s="14" t="s">
        <v>100</v>
      </c>
      <c r="C94" s="15">
        <f>30/2</f>
        <v>15</v>
      </c>
      <c r="D94" s="16">
        <f t="shared" si="2"/>
        <v>0.2139800285306705</v>
      </c>
    </row>
    <row r="95" spans="1:4" x14ac:dyDescent="0.2">
      <c r="A95" s="13" t="s">
        <v>27</v>
      </c>
      <c r="B95" s="14" t="s">
        <v>93</v>
      </c>
      <c r="C95" s="15">
        <v>50</v>
      </c>
      <c r="D95" s="16">
        <f t="shared" si="2"/>
        <v>0.71326676176890158</v>
      </c>
    </row>
    <row r="96" spans="1:4" x14ac:dyDescent="0.2">
      <c r="A96" s="13" t="s">
        <v>27</v>
      </c>
      <c r="B96" s="14" t="s">
        <v>101</v>
      </c>
      <c r="C96" s="15">
        <f>(35+20+10+5+10)/2</f>
        <v>40</v>
      </c>
      <c r="D96" s="16">
        <f t="shared" si="2"/>
        <v>0.57061340941512129</v>
      </c>
    </row>
    <row r="97" spans="1:4" x14ac:dyDescent="0.2">
      <c r="A97" s="13" t="s">
        <v>27</v>
      </c>
      <c r="B97" s="14" t="s">
        <v>102</v>
      </c>
      <c r="C97" s="15">
        <f>(62+60)/2</f>
        <v>61</v>
      </c>
      <c r="D97" s="16">
        <f t="shared" si="2"/>
        <v>0.87018544935805997</v>
      </c>
    </row>
    <row r="98" spans="1:4" x14ac:dyDescent="0.2">
      <c r="A98" s="13" t="s">
        <v>27</v>
      </c>
      <c r="B98" s="14" t="s">
        <v>103</v>
      </c>
      <c r="C98" s="15">
        <f>(90+50+65+30)/2</f>
        <v>117.5</v>
      </c>
      <c r="D98" s="16">
        <f t="shared" si="2"/>
        <v>1.6761768901569187</v>
      </c>
    </row>
    <row r="99" spans="1:4" x14ac:dyDescent="0.2">
      <c r="A99" s="13" t="s">
        <v>27</v>
      </c>
      <c r="B99" s="14" t="s">
        <v>104</v>
      </c>
      <c r="C99" s="15">
        <f>(10+32+5)/2</f>
        <v>23.5</v>
      </c>
      <c r="D99" s="16">
        <f t="shared" si="2"/>
        <v>0.33523537803138376</v>
      </c>
    </row>
    <row r="100" spans="1:4" x14ac:dyDescent="0.2">
      <c r="A100" s="13" t="s">
        <v>29</v>
      </c>
      <c r="B100" s="14" t="s">
        <v>105</v>
      </c>
      <c r="C100" s="15">
        <v>75</v>
      </c>
      <c r="D100" s="16">
        <f t="shared" si="2"/>
        <v>1.0699001426533525</v>
      </c>
    </row>
    <row r="101" spans="1:4" x14ac:dyDescent="0.2">
      <c r="A101" s="13" t="s">
        <v>29</v>
      </c>
      <c r="B101" s="14" t="s">
        <v>106</v>
      </c>
      <c r="C101" s="15">
        <v>120</v>
      </c>
      <c r="D101" s="16">
        <f t="shared" si="2"/>
        <v>1.711840228245364</v>
      </c>
    </row>
    <row r="102" spans="1:4" x14ac:dyDescent="0.2">
      <c r="A102" s="13" t="s">
        <v>29</v>
      </c>
      <c r="B102" s="14" t="s">
        <v>107</v>
      </c>
      <c r="C102" s="15">
        <f>(30+10+20)/2</f>
        <v>30</v>
      </c>
      <c r="D102" s="16">
        <f t="shared" si="2"/>
        <v>0.42796005706134099</v>
      </c>
    </row>
    <row r="103" spans="1:4" x14ac:dyDescent="0.2">
      <c r="A103" s="13" t="s">
        <v>29</v>
      </c>
      <c r="B103" s="14" t="s">
        <v>108</v>
      </c>
      <c r="C103" s="15">
        <f>140/2</f>
        <v>70</v>
      </c>
      <c r="D103" s="16">
        <f t="shared" si="2"/>
        <v>0.99857346647646228</v>
      </c>
    </row>
    <row r="104" spans="1:4" x14ac:dyDescent="0.2">
      <c r="A104" s="13" t="s">
        <v>29</v>
      </c>
      <c r="B104" s="14" t="s">
        <v>109</v>
      </c>
      <c r="C104" s="15">
        <v>110</v>
      </c>
      <c r="D104" s="16">
        <f t="shared" si="2"/>
        <v>1.5691868758915837</v>
      </c>
    </row>
    <row r="105" spans="1:4" x14ac:dyDescent="0.2">
      <c r="A105" s="13" t="s">
        <v>29</v>
      </c>
      <c r="B105" s="14" t="s">
        <v>110</v>
      </c>
      <c r="C105" s="15">
        <f>(55+30)/2</f>
        <v>42.5</v>
      </c>
      <c r="D105" s="16">
        <f t="shared" si="2"/>
        <v>0.60627674750356642</v>
      </c>
    </row>
    <row r="106" spans="1:4" x14ac:dyDescent="0.2">
      <c r="A106" s="13" t="s">
        <v>29</v>
      </c>
      <c r="B106" s="14" t="s">
        <v>106</v>
      </c>
      <c r="C106" s="15">
        <v>120</v>
      </c>
      <c r="D106" s="16">
        <f t="shared" si="2"/>
        <v>1.711840228245364</v>
      </c>
    </row>
    <row r="107" spans="1:4" x14ac:dyDescent="0.2">
      <c r="A107" s="13" t="s">
        <v>29</v>
      </c>
      <c r="B107" s="14" t="s">
        <v>111</v>
      </c>
      <c r="C107" s="15">
        <f>25/2</f>
        <v>12.5</v>
      </c>
      <c r="D107" s="16">
        <f t="shared" si="2"/>
        <v>0.1783166904422254</v>
      </c>
    </row>
    <row r="108" spans="1:4" x14ac:dyDescent="0.2">
      <c r="A108" s="13" t="s">
        <v>29</v>
      </c>
      <c r="B108" s="14" t="s">
        <v>109</v>
      </c>
      <c r="C108" s="15">
        <f>290/2</f>
        <v>145</v>
      </c>
      <c r="D108" s="16">
        <f t="shared" si="2"/>
        <v>2.0684736091298146</v>
      </c>
    </row>
    <row r="109" spans="1:4" x14ac:dyDescent="0.2">
      <c r="A109" s="13" t="s">
        <v>112</v>
      </c>
      <c r="B109" s="14" t="s">
        <v>76</v>
      </c>
      <c r="C109" s="15">
        <f>(30+15+20)/2</f>
        <v>32.5</v>
      </c>
      <c r="D109" s="16">
        <f t="shared" si="2"/>
        <v>0.46362339514978607</v>
      </c>
    </row>
    <row r="110" spans="1:4" x14ac:dyDescent="0.2">
      <c r="A110" s="13" t="s">
        <v>31</v>
      </c>
      <c r="B110" s="14" t="s">
        <v>113</v>
      </c>
      <c r="C110" s="15">
        <f>(50+80+20+105+25+45)*1.06/2</f>
        <v>172.25</v>
      </c>
      <c r="D110" s="16">
        <f t="shared" si="2"/>
        <v>2.4572039942938662</v>
      </c>
    </row>
    <row r="111" spans="1:4" x14ac:dyDescent="0.2">
      <c r="A111" s="13" t="s">
        <v>31</v>
      </c>
      <c r="B111" s="14" t="s">
        <v>114</v>
      </c>
      <c r="C111" s="15">
        <f>(75+80+20)*1.06/2</f>
        <v>92.75</v>
      </c>
      <c r="D111" s="16">
        <f t="shared" si="2"/>
        <v>1.3231098430813124</v>
      </c>
    </row>
    <row r="112" spans="1:4" x14ac:dyDescent="0.2">
      <c r="A112" s="13" t="s">
        <v>31</v>
      </c>
      <c r="B112" s="14" t="s">
        <v>115</v>
      </c>
      <c r="C112" s="15">
        <v>150</v>
      </c>
      <c r="D112" s="16">
        <f t="shared" si="2"/>
        <v>2.1398002853067051</v>
      </c>
    </row>
    <row r="113" spans="1:4" x14ac:dyDescent="0.2">
      <c r="A113" s="13" t="s">
        <v>31</v>
      </c>
      <c r="B113" s="14" t="s">
        <v>104</v>
      </c>
      <c r="C113" s="15">
        <f>(80+20+10)/2</f>
        <v>55</v>
      </c>
      <c r="D113" s="16">
        <f t="shared" si="2"/>
        <v>0.78459343794579184</v>
      </c>
    </row>
    <row r="114" spans="1:4" x14ac:dyDescent="0.2">
      <c r="A114" s="13" t="s">
        <v>31</v>
      </c>
      <c r="B114" s="14" t="s">
        <v>116</v>
      </c>
      <c r="C114" s="15">
        <f>(25+35)*1.6/2</f>
        <v>48</v>
      </c>
      <c r="D114" s="16">
        <f t="shared" si="2"/>
        <v>0.68473609129814561</v>
      </c>
    </row>
    <row r="115" spans="1:4" x14ac:dyDescent="0.2">
      <c r="A115" s="13" t="s">
        <v>31</v>
      </c>
      <c r="B115" s="14" t="s">
        <v>117</v>
      </c>
      <c r="C115" s="15">
        <f>290/2</f>
        <v>145</v>
      </c>
      <c r="D115" s="16">
        <f t="shared" si="2"/>
        <v>2.0684736091298146</v>
      </c>
    </row>
    <row r="116" spans="1:4" x14ac:dyDescent="0.2">
      <c r="A116" s="13" t="s">
        <v>31</v>
      </c>
      <c r="B116" s="14" t="s">
        <v>118</v>
      </c>
      <c r="C116" s="15">
        <f>15/2</f>
        <v>7.5</v>
      </c>
      <c r="D116" s="16">
        <f t="shared" si="2"/>
        <v>0.10699001426533525</v>
      </c>
    </row>
    <row r="117" spans="1:4" x14ac:dyDescent="0.2">
      <c r="A117" s="13" t="s">
        <v>31</v>
      </c>
      <c r="B117" s="14" t="s">
        <v>119</v>
      </c>
      <c r="C117" s="15">
        <f>240/2</f>
        <v>120</v>
      </c>
      <c r="D117" s="16">
        <f t="shared" si="2"/>
        <v>1.711840228245364</v>
      </c>
    </row>
    <row r="118" spans="1:4" x14ac:dyDescent="0.2">
      <c r="A118" s="13" t="s">
        <v>31</v>
      </c>
      <c r="B118" s="14" t="s">
        <v>120</v>
      </c>
      <c r="C118" s="15">
        <f>235/2</f>
        <v>117.5</v>
      </c>
      <c r="D118" s="16">
        <f t="shared" si="2"/>
        <v>1.6761768901569187</v>
      </c>
    </row>
    <row r="119" spans="1:4" x14ac:dyDescent="0.2">
      <c r="A119" s="13" t="s">
        <v>31</v>
      </c>
      <c r="B119" s="14" t="s">
        <v>121</v>
      </c>
      <c r="C119" s="15">
        <f>(15+10+30+32+20)/2</f>
        <v>53.5</v>
      </c>
      <c r="D119" s="16">
        <f t="shared" si="2"/>
        <v>0.76319543509272469</v>
      </c>
    </row>
    <row r="120" spans="1:4" x14ac:dyDescent="0.2">
      <c r="A120" s="13" t="s">
        <v>31</v>
      </c>
      <c r="B120" s="14" t="s">
        <v>122</v>
      </c>
      <c r="C120" s="15">
        <f>130/2</f>
        <v>65</v>
      </c>
      <c r="D120" s="16">
        <f t="shared" si="2"/>
        <v>0.92724679029957213</v>
      </c>
    </row>
    <row r="121" spans="1:4" x14ac:dyDescent="0.2">
      <c r="A121" s="13" t="s">
        <v>31</v>
      </c>
      <c r="B121" s="14" t="s">
        <v>123</v>
      </c>
      <c r="C121" s="15">
        <f>290/2</f>
        <v>145</v>
      </c>
      <c r="D121" s="16">
        <f t="shared" si="2"/>
        <v>2.0684736091298146</v>
      </c>
    </row>
    <row r="122" spans="1:4" x14ac:dyDescent="0.2">
      <c r="A122" s="13" t="s">
        <v>31</v>
      </c>
      <c r="B122" s="14" t="s">
        <v>124</v>
      </c>
      <c r="C122" s="15">
        <f>(15+10+15+32+23)/2</f>
        <v>47.5</v>
      </c>
      <c r="D122" s="16">
        <f t="shared" si="2"/>
        <v>0.67760342368045656</v>
      </c>
    </row>
    <row r="123" spans="1:4" x14ac:dyDescent="0.2">
      <c r="A123" s="13" t="s">
        <v>31</v>
      </c>
      <c r="B123" s="14" t="s">
        <v>119</v>
      </c>
      <c r="C123" s="15">
        <f>225/2</f>
        <v>112.5</v>
      </c>
      <c r="D123" s="16">
        <f t="shared" si="2"/>
        <v>1.6048502139800287</v>
      </c>
    </row>
    <row r="124" spans="1:4" x14ac:dyDescent="0.2">
      <c r="A124" s="13" t="s">
        <v>31</v>
      </c>
      <c r="B124" s="14" t="s">
        <v>125</v>
      </c>
      <c r="C124" s="15">
        <f>10</f>
        <v>10</v>
      </c>
      <c r="D124" s="16">
        <f t="shared" si="2"/>
        <v>0.14265335235378032</v>
      </c>
    </row>
    <row r="125" spans="1:4" x14ac:dyDescent="0.2">
      <c r="A125" s="13" t="s">
        <v>33</v>
      </c>
      <c r="B125" s="14" t="s">
        <v>126</v>
      </c>
      <c r="C125" s="15">
        <f>1085/2</f>
        <v>542.5</v>
      </c>
      <c r="D125" s="16">
        <f t="shared" si="2"/>
        <v>7.7389443651925829</v>
      </c>
    </row>
    <row r="126" spans="1:4" x14ac:dyDescent="0.2">
      <c r="A126" s="13" t="s">
        <v>33</v>
      </c>
      <c r="B126" s="14" t="s">
        <v>127</v>
      </c>
      <c r="C126" s="15">
        <f>(30+32+55+33)/2</f>
        <v>75</v>
      </c>
      <c r="D126" s="16">
        <f t="shared" si="2"/>
        <v>1.0699001426533525</v>
      </c>
    </row>
    <row r="127" spans="1:4" x14ac:dyDescent="0.2">
      <c r="A127" s="13" t="s">
        <v>33</v>
      </c>
      <c r="B127" s="14" t="s">
        <v>128</v>
      </c>
      <c r="C127" s="15">
        <f>(95+95+60+35+40+45)/2</f>
        <v>185</v>
      </c>
      <c r="D127" s="16">
        <f t="shared" si="2"/>
        <v>2.6390870185449362</v>
      </c>
    </row>
    <row r="128" spans="1:4" x14ac:dyDescent="0.2">
      <c r="A128" s="13" t="s">
        <v>33</v>
      </c>
      <c r="B128" s="14" t="s">
        <v>129</v>
      </c>
      <c r="C128" s="15">
        <f>+(120+110+20)/2</f>
        <v>125</v>
      </c>
      <c r="D128" s="16">
        <f t="shared" si="2"/>
        <v>1.783166904422254</v>
      </c>
    </row>
    <row r="129" spans="1:4" x14ac:dyDescent="0.2">
      <c r="A129" s="13"/>
      <c r="B129" s="14"/>
      <c r="C129" s="15"/>
      <c r="D129" s="16"/>
    </row>
    <row r="130" spans="1:4" x14ac:dyDescent="0.2">
      <c r="A130" s="13"/>
      <c r="B130" s="14"/>
      <c r="C130" s="15"/>
      <c r="D130" s="16"/>
    </row>
    <row r="131" spans="1:4" ht="13.5" thickBot="1" x14ac:dyDescent="0.25">
      <c r="A131" s="19"/>
      <c r="B131" s="20"/>
      <c r="C131" s="21"/>
      <c r="D131" s="48"/>
    </row>
    <row r="132" spans="1:4" ht="14.25" thickTop="1" thickBot="1" x14ac:dyDescent="0.25">
      <c r="B132" s="49" t="s">
        <v>130</v>
      </c>
      <c r="C132" s="50" t="s">
        <v>131</v>
      </c>
      <c r="D132" s="51">
        <f>SUM(D27:D131)</f>
        <v>153.90678811545644</v>
      </c>
    </row>
    <row r="133" spans="1:4" ht="14.25" thickTop="1" thickBot="1" x14ac:dyDescent="0.25">
      <c r="B133" s="4"/>
    </row>
    <row r="134" spans="1:4" ht="14.25" thickTop="1" thickBot="1" x14ac:dyDescent="0.25">
      <c r="A134" s="6" t="s">
        <v>132</v>
      </c>
      <c r="B134" s="7" t="s">
        <v>133</v>
      </c>
      <c r="C134" s="7" t="s">
        <v>9</v>
      </c>
      <c r="D134" s="8" t="s">
        <v>10</v>
      </c>
    </row>
    <row r="135" spans="1:4" ht="13.5" thickTop="1" x14ac:dyDescent="0.2">
      <c r="A135" s="9" t="s">
        <v>134</v>
      </c>
      <c r="B135" s="10" t="s">
        <v>135</v>
      </c>
      <c r="C135" s="11">
        <v>45</v>
      </c>
      <c r="D135" s="12">
        <f>C135/[1]Népal!B6</f>
        <v>0.41605029585798819</v>
      </c>
    </row>
    <row r="136" spans="1:4" x14ac:dyDescent="0.2">
      <c r="A136" s="13" t="s">
        <v>136</v>
      </c>
      <c r="B136" s="14" t="s">
        <v>137</v>
      </c>
      <c r="C136" s="15">
        <v>60</v>
      </c>
      <c r="D136" s="33">
        <f>C136/[1]Népal!B6</f>
        <v>0.55473372781065089</v>
      </c>
    </row>
    <row r="137" spans="1:4" x14ac:dyDescent="0.2">
      <c r="A137" s="13" t="s">
        <v>134</v>
      </c>
      <c r="B137" s="14" t="s">
        <v>138</v>
      </c>
      <c r="C137" s="15">
        <f>140/2</f>
        <v>70</v>
      </c>
      <c r="D137" s="33">
        <f t="shared" ref="D137:D172" si="3">C137/$B$6</f>
        <v>0.99857346647646228</v>
      </c>
    </row>
    <row r="138" spans="1:4" x14ac:dyDescent="0.2">
      <c r="A138" s="13" t="s">
        <v>139</v>
      </c>
      <c r="B138" s="14" t="s">
        <v>140</v>
      </c>
      <c r="C138" s="15">
        <f>122/2</f>
        <v>61</v>
      </c>
      <c r="D138" s="33">
        <f t="shared" si="3"/>
        <v>0.87018544935805997</v>
      </c>
    </row>
    <row r="139" spans="1:4" x14ac:dyDescent="0.2">
      <c r="A139" s="13" t="s">
        <v>141</v>
      </c>
      <c r="B139" s="14" t="s">
        <v>142</v>
      </c>
      <c r="C139" s="15">
        <f>150</f>
        <v>150</v>
      </c>
      <c r="D139" s="33">
        <f t="shared" si="3"/>
        <v>2.1398002853067051</v>
      </c>
    </row>
    <row r="140" spans="1:4" x14ac:dyDescent="0.2">
      <c r="A140" s="13" t="s">
        <v>139</v>
      </c>
      <c r="B140" s="14" t="s">
        <v>143</v>
      </c>
      <c r="C140" s="15">
        <v>320</v>
      </c>
      <c r="D140" s="33">
        <f t="shared" si="3"/>
        <v>4.5649072753209703</v>
      </c>
    </row>
    <row r="141" spans="1:4" x14ac:dyDescent="0.2">
      <c r="A141" s="13" t="s">
        <v>141</v>
      </c>
      <c r="B141" s="14" t="s">
        <v>144</v>
      </c>
      <c r="C141" s="15">
        <v>30</v>
      </c>
      <c r="D141" s="33">
        <f t="shared" si="3"/>
        <v>0.42796005706134099</v>
      </c>
    </row>
    <row r="142" spans="1:4" x14ac:dyDescent="0.2">
      <c r="A142" s="13" t="s">
        <v>141</v>
      </c>
      <c r="B142" s="14" t="s">
        <v>145</v>
      </c>
      <c r="C142" s="15">
        <v>25</v>
      </c>
      <c r="D142" s="33">
        <f t="shared" si="3"/>
        <v>0.35663338088445079</v>
      </c>
    </row>
    <row r="143" spans="1:4" x14ac:dyDescent="0.2">
      <c r="A143" s="13" t="s">
        <v>139</v>
      </c>
      <c r="B143" s="14" t="s">
        <v>146</v>
      </c>
      <c r="C143" s="15">
        <f>188/2</f>
        <v>94</v>
      </c>
      <c r="D143" s="33">
        <f t="shared" si="3"/>
        <v>1.340941512125535</v>
      </c>
    </row>
    <row r="144" spans="1:4" x14ac:dyDescent="0.2">
      <c r="A144" s="13" t="s">
        <v>141</v>
      </c>
      <c r="B144" s="14" t="s">
        <v>147</v>
      </c>
      <c r="C144" s="15">
        <v>50</v>
      </c>
      <c r="D144" s="33">
        <f t="shared" si="3"/>
        <v>0.71326676176890158</v>
      </c>
    </row>
    <row r="145" spans="1:4" x14ac:dyDescent="0.2">
      <c r="A145" s="13" t="s">
        <v>136</v>
      </c>
      <c r="B145" s="14" t="s">
        <v>148</v>
      </c>
      <c r="C145" s="15">
        <v>30</v>
      </c>
      <c r="D145" s="33">
        <f t="shared" si="3"/>
        <v>0.42796005706134099</v>
      </c>
    </row>
    <row r="146" spans="1:4" x14ac:dyDescent="0.2">
      <c r="A146" s="13" t="s">
        <v>141</v>
      </c>
      <c r="B146" s="14" t="s">
        <v>149</v>
      </c>
      <c r="C146" s="15">
        <v>20</v>
      </c>
      <c r="D146" s="33">
        <f t="shared" si="3"/>
        <v>0.28530670470756064</v>
      </c>
    </row>
    <row r="147" spans="1:4" x14ac:dyDescent="0.2">
      <c r="A147" s="13" t="s">
        <v>141</v>
      </c>
      <c r="B147" s="14" t="s">
        <v>150</v>
      </c>
      <c r="C147" s="15">
        <f>90/2</f>
        <v>45</v>
      </c>
      <c r="D147" s="33">
        <f t="shared" si="3"/>
        <v>0.64194008559201143</v>
      </c>
    </row>
    <row r="148" spans="1:4" x14ac:dyDescent="0.2">
      <c r="A148" s="13" t="s">
        <v>139</v>
      </c>
      <c r="B148" s="14" t="s">
        <v>151</v>
      </c>
      <c r="C148" s="15">
        <v>62.5</v>
      </c>
      <c r="D148" s="33">
        <f t="shared" si="3"/>
        <v>0.891583452211127</v>
      </c>
    </row>
    <row r="149" spans="1:4" x14ac:dyDescent="0.2">
      <c r="A149" s="13" t="s">
        <v>141</v>
      </c>
      <c r="B149" s="14" t="s">
        <v>152</v>
      </c>
      <c r="C149" s="15">
        <v>75</v>
      </c>
      <c r="D149" s="33">
        <f t="shared" si="3"/>
        <v>1.0699001426533525</v>
      </c>
    </row>
    <row r="150" spans="1:4" x14ac:dyDescent="0.2">
      <c r="A150" s="13" t="s">
        <v>153</v>
      </c>
      <c r="B150" s="14" t="s">
        <v>154</v>
      </c>
      <c r="C150" s="15">
        <v>250</v>
      </c>
      <c r="D150" s="33">
        <f t="shared" si="3"/>
        <v>3.566333808844508</v>
      </c>
    </row>
    <row r="151" spans="1:4" x14ac:dyDescent="0.2">
      <c r="A151" s="13" t="s">
        <v>136</v>
      </c>
      <c r="B151" s="14" t="s">
        <v>155</v>
      </c>
      <c r="C151" s="15">
        <v>1.5</v>
      </c>
      <c r="D151" s="33">
        <f t="shared" si="3"/>
        <v>2.139800285306705E-2</v>
      </c>
    </row>
    <row r="152" spans="1:4" x14ac:dyDescent="0.2">
      <c r="A152" s="13" t="s">
        <v>139</v>
      </c>
      <c r="B152" s="14" t="s">
        <v>156</v>
      </c>
      <c r="C152" s="15">
        <f>494/2</f>
        <v>247</v>
      </c>
      <c r="D152" s="33">
        <f>C152/$B$6</f>
        <v>3.5235378031383742</v>
      </c>
    </row>
    <row r="153" spans="1:4" x14ac:dyDescent="0.2">
      <c r="A153" s="13" t="s">
        <v>157</v>
      </c>
      <c r="B153" s="14" t="s">
        <v>158</v>
      </c>
      <c r="C153" s="15">
        <f>(50+40)/2</f>
        <v>45</v>
      </c>
      <c r="D153" s="33">
        <f t="shared" si="3"/>
        <v>0.64194008559201143</v>
      </c>
    </row>
    <row r="154" spans="1:4" x14ac:dyDescent="0.2">
      <c r="A154" s="13" t="s">
        <v>139</v>
      </c>
      <c r="B154" s="14" t="s">
        <v>159</v>
      </c>
      <c r="C154" s="15">
        <f>1784/2</f>
        <v>892</v>
      </c>
      <c r="D154" s="33">
        <f t="shared" si="3"/>
        <v>12.724679029957205</v>
      </c>
    </row>
    <row r="155" spans="1:4" x14ac:dyDescent="0.2">
      <c r="A155" s="13" t="s">
        <v>141</v>
      </c>
      <c r="B155" s="14" t="s">
        <v>160</v>
      </c>
      <c r="C155" s="15">
        <v>5</v>
      </c>
      <c r="D155" s="33">
        <f t="shared" si="3"/>
        <v>7.1326676176890161E-2</v>
      </c>
    </row>
    <row r="156" spans="1:4" x14ac:dyDescent="0.2">
      <c r="A156" s="13" t="s">
        <v>134</v>
      </c>
      <c r="B156" s="14" t="s">
        <v>161</v>
      </c>
      <c r="C156" s="15">
        <f>(3+24+24)/2</f>
        <v>25.5</v>
      </c>
      <c r="D156" s="33">
        <f t="shared" si="3"/>
        <v>0.36376604850213984</v>
      </c>
    </row>
    <row r="157" spans="1:4" x14ac:dyDescent="0.2">
      <c r="A157" s="13" t="s">
        <v>134</v>
      </c>
      <c r="B157" s="14" t="s">
        <v>162</v>
      </c>
      <c r="C157" s="15">
        <v>110</v>
      </c>
      <c r="D157" s="33">
        <f t="shared" si="3"/>
        <v>1.5691868758915837</v>
      </c>
    </row>
    <row r="158" spans="1:4" x14ac:dyDescent="0.2">
      <c r="A158" s="13" t="s">
        <v>134</v>
      </c>
      <c r="B158" s="14" t="s">
        <v>163</v>
      </c>
      <c r="C158" s="15">
        <f>137+10</f>
        <v>147</v>
      </c>
      <c r="D158" s="33">
        <f t="shared" si="3"/>
        <v>2.0970042796005708</v>
      </c>
    </row>
    <row r="159" spans="1:4" x14ac:dyDescent="0.2">
      <c r="A159" s="13" t="s">
        <v>134</v>
      </c>
      <c r="B159" s="14" t="s">
        <v>164</v>
      </c>
      <c r="C159" s="15">
        <v>400</v>
      </c>
      <c r="D159" s="33">
        <f t="shared" si="3"/>
        <v>5.7061340941512126</v>
      </c>
    </row>
    <row r="160" spans="1:4" x14ac:dyDescent="0.2">
      <c r="A160" s="13" t="s">
        <v>141</v>
      </c>
      <c r="B160" s="14" t="s">
        <v>165</v>
      </c>
      <c r="C160" s="15">
        <v>25</v>
      </c>
      <c r="D160" s="33">
        <f t="shared" si="3"/>
        <v>0.35663338088445079</v>
      </c>
    </row>
    <row r="161" spans="1:4" x14ac:dyDescent="0.2">
      <c r="A161" s="13" t="s">
        <v>141</v>
      </c>
      <c r="B161" s="14" t="s">
        <v>166</v>
      </c>
      <c r="C161" s="15">
        <v>20</v>
      </c>
      <c r="D161" s="33">
        <f t="shared" si="3"/>
        <v>0.28530670470756064</v>
      </c>
    </row>
    <row r="162" spans="1:4" x14ac:dyDescent="0.2">
      <c r="A162" s="13" t="s">
        <v>139</v>
      </c>
      <c r="B162" s="14" t="s">
        <v>167</v>
      </c>
      <c r="C162" s="15">
        <f>330/2</f>
        <v>165</v>
      </c>
      <c r="D162" s="33">
        <f t="shared" si="3"/>
        <v>2.3537803138373752</v>
      </c>
    </row>
    <row r="163" spans="1:4" x14ac:dyDescent="0.2">
      <c r="A163" s="13" t="s">
        <v>141</v>
      </c>
      <c r="B163" s="14" t="s">
        <v>168</v>
      </c>
      <c r="C163" s="15">
        <v>25</v>
      </c>
      <c r="D163" s="33">
        <f t="shared" si="3"/>
        <v>0.35663338088445079</v>
      </c>
    </row>
    <row r="164" spans="1:4" x14ac:dyDescent="0.2">
      <c r="A164" s="13" t="s">
        <v>139</v>
      </c>
      <c r="B164" s="14" t="s">
        <v>169</v>
      </c>
      <c r="C164" s="15">
        <f>330/2</f>
        <v>165</v>
      </c>
      <c r="D164" s="33">
        <f t="shared" si="3"/>
        <v>2.3537803138373752</v>
      </c>
    </row>
    <row r="165" spans="1:4" x14ac:dyDescent="0.2">
      <c r="A165" s="13" t="s">
        <v>141</v>
      </c>
      <c r="B165" s="14" t="s">
        <v>170</v>
      </c>
      <c r="C165" s="15">
        <v>20</v>
      </c>
      <c r="D165" s="33">
        <f t="shared" si="3"/>
        <v>0.28530670470756064</v>
      </c>
    </row>
    <row r="166" spans="1:4" x14ac:dyDescent="0.2">
      <c r="A166" s="13" t="s">
        <v>134</v>
      </c>
      <c r="B166" s="14" t="s">
        <v>171</v>
      </c>
      <c r="C166" s="15">
        <v>197</v>
      </c>
      <c r="D166" s="33">
        <f t="shared" si="3"/>
        <v>2.8102710413694725</v>
      </c>
    </row>
    <row r="167" spans="1:4" x14ac:dyDescent="0.2">
      <c r="A167" s="13" t="s">
        <v>141</v>
      </c>
      <c r="B167" s="14" t="s">
        <v>172</v>
      </c>
      <c r="C167" s="15">
        <v>25</v>
      </c>
      <c r="D167" s="33">
        <f t="shared" si="3"/>
        <v>0.35663338088445079</v>
      </c>
    </row>
    <row r="168" spans="1:4" x14ac:dyDescent="0.2">
      <c r="A168" s="13" t="s">
        <v>139</v>
      </c>
      <c r="B168" s="14" t="s">
        <v>173</v>
      </c>
      <c r="C168" s="15">
        <f>710/2</f>
        <v>355</v>
      </c>
      <c r="D168" s="33">
        <f t="shared" si="3"/>
        <v>5.0641940085592019</v>
      </c>
    </row>
    <row r="169" spans="1:4" x14ac:dyDescent="0.2">
      <c r="A169" s="13" t="s">
        <v>141</v>
      </c>
      <c r="B169" s="14" t="s">
        <v>174</v>
      </c>
      <c r="C169" s="15">
        <v>30</v>
      </c>
      <c r="D169" s="33">
        <f t="shared" si="3"/>
        <v>0.42796005706134099</v>
      </c>
    </row>
    <row r="170" spans="1:4" x14ac:dyDescent="0.2">
      <c r="A170" s="13" t="s">
        <v>141</v>
      </c>
      <c r="B170" s="14" t="s">
        <v>175</v>
      </c>
      <c r="C170" s="15">
        <f>150/2</f>
        <v>75</v>
      </c>
      <c r="D170" s="33">
        <f t="shared" si="3"/>
        <v>1.0699001426533525</v>
      </c>
    </row>
    <row r="171" spans="1:4" x14ac:dyDescent="0.2">
      <c r="A171" s="13" t="s">
        <v>176</v>
      </c>
      <c r="B171" s="14" t="s">
        <v>33</v>
      </c>
      <c r="C171" s="15">
        <f>32/2</f>
        <v>16</v>
      </c>
      <c r="D171" s="33">
        <f t="shared" si="3"/>
        <v>0.22824536376604851</v>
      </c>
    </row>
    <row r="172" spans="1:4" x14ac:dyDescent="0.2">
      <c r="A172" s="13" t="s">
        <v>141</v>
      </c>
      <c r="B172" s="14" t="s">
        <v>177</v>
      </c>
      <c r="C172" s="15">
        <f>100/2</f>
        <v>50</v>
      </c>
      <c r="D172" s="33">
        <f t="shared" si="3"/>
        <v>0.71326676176890158</v>
      </c>
    </row>
    <row r="173" spans="1:4" x14ac:dyDescent="0.2">
      <c r="A173" s="13"/>
      <c r="B173" s="14"/>
      <c r="C173" s="15"/>
      <c r="D173" s="33"/>
    </row>
    <row r="174" spans="1:4" ht="13.5" thickBot="1" x14ac:dyDescent="0.25">
      <c r="A174" s="19"/>
      <c r="B174" s="20"/>
      <c r="C174" s="21"/>
      <c r="D174" s="22"/>
    </row>
    <row r="175" spans="1:4" ht="14.25" thickTop="1" thickBot="1" x14ac:dyDescent="0.25">
      <c r="A175" s="23"/>
      <c r="B175" s="24" t="s">
        <v>178</v>
      </c>
      <c r="C175" s="52" t="s">
        <v>179</v>
      </c>
      <c r="D175" s="53">
        <f>SUM(D135:D174)</f>
        <v>62.646960913825573</v>
      </c>
    </row>
    <row r="176" spans="1:4" ht="14.25" thickTop="1" thickBot="1" x14ac:dyDescent="0.25">
      <c r="B176" s="4"/>
    </row>
    <row r="177" spans="1:4" ht="14.25" thickTop="1" thickBot="1" x14ac:dyDescent="0.25">
      <c r="A177" s="6" t="s">
        <v>7</v>
      </c>
      <c r="B177" s="7" t="s">
        <v>180</v>
      </c>
      <c r="C177" s="7" t="s">
        <v>9</v>
      </c>
      <c r="D177" s="8" t="s">
        <v>10</v>
      </c>
    </row>
    <row r="178" spans="1:4" ht="13.5" thickTop="1" x14ac:dyDescent="0.2">
      <c r="A178" s="13" t="s">
        <v>11</v>
      </c>
      <c r="B178" s="14" t="s">
        <v>181</v>
      </c>
      <c r="C178" s="15">
        <v>152</v>
      </c>
      <c r="D178" s="33">
        <f t="shared" ref="D178:D207" si="4">C178/$B$6</f>
        <v>2.1683309557774608</v>
      </c>
    </row>
    <row r="179" spans="1:4" x14ac:dyDescent="0.2">
      <c r="A179" s="13" t="s">
        <v>11</v>
      </c>
      <c r="B179" s="14" t="s">
        <v>182</v>
      </c>
      <c r="C179" s="15">
        <v>100</v>
      </c>
      <c r="D179" s="33">
        <f t="shared" si="4"/>
        <v>1.4265335235378032</v>
      </c>
    </row>
    <row r="180" spans="1:4" x14ac:dyDescent="0.2">
      <c r="A180" s="13" t="s">
        <v>11</v>
      </c>
      <c r="B180" s="14" t="s">
        <v>183</v>
      </c>
      <c r="C180" s="15">
        <v>10</v>
      </c>
      <c r="D180" s="33">
        <f t="shared" si="4"/>
        <v>0.14265335235378032</v>
      </c>
    </row>
    <row r="181" spans="1:4" x14ac:dyDescent="0.2">
      <c r="A181" s="13" t="s">
        <v>11</v>
      </c>
      <c r="B181" s="14" t="s">
        <v>184</v>
      </c>
      <c r="C181" s="15">
        <v>300</v>
      </c>
      <c r="D181" s="33">
        <f t="shared" si="4"/>
        <v>4.2796005706134101</v>
      </c>
    </row>
    <row r="182" spans="1:4" x14ac:dyDescent="0.2">
      <c r="A182" s="13" t="s">
        <v>13</v>
      </c>
      <c r="B182" s="14" t="s">
        <v>185</v>
      </c>
      <c r="C182" s="15">
        <v>250</v>
      </c>
      <c r="D182" s="33">
        <f t="shared" si="4"/>
        <v>3.566333808844508</v>
      </c>
    </row>
    <row r="183" spans="1:4" x14ac:dyDescent="0.2">
      <c r="A183" s="13" t="s">
        <v>15</v>
      </c>
      <c r="B183" s="14" t="s">
        <v>186</v>
      </c>
      <c r="C183" s="15">
        <v>750</v>
      </c>
      <c r="D183" s="33">
        <f t="shared" si="4"/>
        <v>10.699001426533524</v>
      </c>
    </row>
    <row r="184" spans="1:4" x14ac:dyDescent="0.2">
      <c r="A184" s="13" t="s">
        <v>15</v>
      </c>
      <c r="B184" s="14" t="s">
        <v>187</v>
      </c>
      <c r="C184" s="15">
        <v>250</v>
      </c>
      <c r="D184" s="16">
        <f t="shared" si="4"/>
        <v>3.566333808844508</v>
      </c>
    </row>
    <row r="185" spans="1:4" x14ac:dyDescent="0.2">
      <c r="A185" s="13" t="s">
        <v>68</v>
      </c>
      <c r="B185" s="14" t="s">
        <v>188</v>
      </c>
      <c r="C185" s="15">
        <v>260</v>
      </c>
      <c r="D185" s="16">
        <f t="shared" si="4"/>
        <v>3.7089871611982885</v>
      </c>
    </row>
    <row r="186" spans="1:4" x14ac:dyDescent="0.2">
      <c r="A186" s="13" t="s">
        <v>17</v>
      </c>
      <c r="B186" s="14" t="s">
        <v>189</v>
      </c>
      <c r="C186" s="15">
        <v>250</v>
      </c>
      <c r="D186" s="16">
        <f t="shared" si="4"/>
        <v>3.566333808844508</v>
      </c>
    </row>
    <row r="187" spans="1:4" x14ac:dyDescent="0.2">
      <c r="A187" s="13" t="s">
        <v>17</v>
      </c>
      <c r="B187" s="14" t="s">
        <v>190</v>
      </c>
      <c r="C187" s="15">
        <v>200</v>
      </c>
      <c r="D187" s="16">
        <f t="shared" si="4"/>
        <v>2.8530670470756063</v>
      </c>
    </row>
    <row r="188" spans="1:4" x14ac:dyDescent="0.2">
      <c r="A188" s="13" t="s">
        <v>17</v>
      </c>
      <c r="B188" s="14" t="s">
        <v>191</v>
      </c>
      <c r="C188" s="15">
        <v>250</v>
      </c>
      <c r="D188" s="16">
        <f t="shared" si="4"/>
        <v>3.566333808844508</v>
      </c>
    </row>
    <row r="189" spans="1:4" x14ac:dyDescent="0.2">
      <c r="A189" s="13" t="s">
        <v>19</v>
      </c>
      <c r="B189" s="14" t="s">
        <v>192</v>
      </c>
      <c r="C189" s="15">
        <f>220/2</f>
        <v>110</v>
      </c>
      <c r="D189" s="16">
        <f t="shared" si="4"/>
        <v>1.5691868758915837</v>
      </c>
    </row>
    <row r="190" spans="1:4" x14ac:dyDescent="0.2">
      <c r="A190" s="13" t="s">
        <v>21</v>
      </c>
      <c r="B190" s="14" t="s">
        <v>193</v>
      </c>
      <c r="C190" s="15">
        <v>20</v>
      </c>
      <c r="D190" s="16">
        <f t="shared" si="4"/>
        <v>0.28530670470756064</v>
      </c>
    </row>
    <row r="191" spans="1:4" x14ac:dyDescent="0.2">
      <c r="A191" s="13" t="s">
        <v>21</v>
      </c>
      <c r="B191" s="14" t="s">
        <v>194</v>
      </c>
      <c r="C191" s="15">
        <v>170</v>
      </c>
      <c r="D191" s="16">
        <f t="shared" si="4"/>
        <v>2.4251069900142657</v>
      </c>
    </row>
    <row r="192" spans="1:4" x14ac:dyDescent="0.2">
      <c r="A192" s="13" t="s">
        <v>21</v>
      </c>
      <c r="B192" s="14" t="s">
        <v>195</v>
      </c>
      <c r="C192" s="15">
        <v>300</v>
      </c>
      <c r="D192" s="16">
        <f t="shared" si="4"/>
        <v>4.2796005706134101</v>
      </c>
    </row>
    <row r="193" spans="1:4" x14ac:dyDescent="0.2">
      <c r="A193" s="13" t="s">
        <v>21</v>
      </c>
      <c r="B193" s="14" t="s">
        <v>196</v>
      </c>
      <c r="C193" s="15">
        <v>300</v>
      </c>
      <c r="D193" s="16">
        <f t="shared" si="4"/>
        <v>4.2796005706134101</v>
      </c>
    </row>
    <row r="194" spans="1:4" x14ac:dyDescent="0.2">
      <c r="A194" s="13" t="s">
        <v>84</v>
      </c>
      <c r="B194" s="14" t="s">
        <v>197</v>
      </c>
      <c r="C194" s="15">
        <v>20</v>
      </c>
      <c r="D194" s="16">
        <f t="shared" si="4"/>
        <v>0.28530670470756064</v>
      </c>
    </row>
    <row r="195" spans="1:4" x14ac:dyDescent="0.2">
      <c r="A195" s="13" t="s">
        <v>84</v>
      </c>
      <c r="B195" s="14" t="s">
        <v>198</v>
      </c>
      <c r="C195" s="15">
        <v>150</v>
      </c>
      <c r="D195" s="16">
        <f t="shared" si="4"/>
        <v>2.1398002853067051</v>
      </c>
    </row>
    <row r="196" spans="1:4" x14ac:dyDescent="0.2">
      <c r="A196" s="13" t="s">
        <v>25</v>
      </c>
      <c r="B196" s="14" t="s">
        <v>199</v>
      </c>
      <c r="C196" s="15">
        <v>250</v>
      </c>
      <c r="D196" s="16">
        <f t="shared" si="4"/>
        <v>3.566333808844508</v>
      </c>
    </row>
    <row r="197" spans="1:4" x14ac:dyDescent="0.2">
      <c r="A197" s="13" t="s">
        <v>27</v>
      </c>
      <c r="B197" s="14" t="s">
        <v>200</v>
      </c>
      <c r="C197" s="15">
        <v>5</v>
      </c>
      <c r="D197" s="33">
        <f t="shared" si="4"/>
        <v>7.1326676176890161E-2</v>
      </c>
    </row>
    <row r="198" spans="1:4" x14ac:dyDescent="0.2">
      <c r="A198" s="13" t="s">
        <v>27</v>
      </c>
      <c r="B198" s="14" t="s">
        <v>201</v>
      </c>
      <c r="C198" s="15">
        <f>75/2</f>
        <v>37.5</v>
      </c>
      <c r="D198" s="33">
        <f t="shared" si="4"/>
        <v>0.53495007132667627</v>
      </c>
    </row>
    <row r="199" spans="1:4" x14ac:dyDescent="0.2">
      <c r="A199" s="13" t="s">
        <v>27</v>
      </c>
      <c r="B199" s="14" t="s">
        <v>202</v>
      </c>
      <c r="C199" s="15">
        <f>700/2</f>
        <v>350</v>
      </c>
      <c r="D199" s="16">
        <f t="shared" si="4"/>
        <v>4.9928673323823114</v>
      </c>
    </row>
    <row r="200" spans="1:4" x14ac:dyDescent="0.2">
      <c r="A200" s="13" t="s">
        <v>29</v>
      </c>
      <c r="B200" s="14" t="s">
        <v>203</v>
      </c>
      <c r="C200" s="15">
        <v>350</v>
      </c>
      <c r="D200" s="16">
        <f t="shared" si="4"/>
        <v>4.9928673323823114</v>
      </c>
    </row>
    <row r="201" spans="1:4" x14ac:dyDescent="0.2">
      <c r="A201" s="13" t="s">
        <v>29</v>
      </c>
      <c r="B201" s="14" t="s">
        <v>204</v>
      </c>
      <c r="C201" s="15">
        <v>1850</v>
      </c>
      <c r="D201" s="16">
        <f t="shared" si="4"/>
        <v>26.390870185449359</v>
      </c>
    </row>
    <row r="202" spans="1:4" x14ac:dyDescent="0.2">
      <c r="A202" s="13" t="s">
        <v>29</v>
      </c>
      <c r="B202" s="14" t="s">
        <v>205</v>
      </c>
      <c r="C202" s="15">
        <v>100</v>
      </c>
      <c r="D202" s="16">
        <f t="shared" si="4"/>
        <v>1.4265335235378032</v>
      </c>
    </row>
    <row r="203" spans="1:4" x14ac:dyDescent="0.2">
      <c r="A203" s="13" t="s">
        <v>31</v>
      </c>
      <c r="B203" s="14" t="s">
        <v>206</v>
      </c>
      <c r="C203" s="15">
        <v>100</v>
      </c>
      <c r="D203" s="16">
        <f t="shared" si="4"/>
        <v>1.4265335235378032</v>
      </c>
    </row>
    <row r="204" spans="1:4" x14ac:dyDescent="0.2">
      <c r="A204" s="13" t="s">
        <v>31</v>
      </c>
      <c r="B204" s="14" t="s">
        <v>207</v>
      </c>
      <c r="C204" s="15">
        <v>325</v>
      </c>
      <c r="D204" s="16">
        <f t="shared" si="4"/>
        <v>4.6362339514978608</v>
      </c>
    </row>
    <row r="205" spans="1:4" x14ac:dyDescent="0.2">
      <c r="A205" s="13" t="s">
        <v>31</v>
      </c>
      <c r="B205" s="14" t="s">
        <v>208</v>
      </c>
      <c r="C205" s="15">
        <v>600</v>
      </c>
      <c r="D205" s="16">
        <f t="shared" si="4"/>
        <v>8.5592011412268203</v>
      </c>
    </row>
    <row r="206" spans="1:4" x14ac:dyDescent="0.2">
      <c r="A206" s="13" t="s">
        <v>31</v>
      </c>
      <c r="B206" s="14" t="s">
        <v>209</v>
      </c>
      <c r="C206" s="15">
        <v>100</v>
      </c>
      <c r="D206" s="16">
        <f t="shared" si="4"/>
        <v>1.4265335235378032</v>
      </c>
    </row>
    <row r="207" spans="1:4" x14ac:dyDescent="0.2">
      <c r="A207" s="13" t="s">
        <v>31</v>
      </c>
      <c r="B207" s="14" t="s">
        <v>210</v>
      </c>
      <c r="C207" s="15">
        <v>30</v>
      </c>
      <c r="D207" s="16">
        <f t="shared" si="4"/>
        <v>0.42796005706134099</v>
      </c>
    </row>
    <row r="208" spans="1:4" x14ac:dyDescent="0.2">
      <c r="A208" s="13"/>
      <c r="B208" s="14"/>
      <c r="C208" s="15"/>
      <c r="D208" s="16"/>
    </row>
    <row r="209" spans="1:4" ht="13.5" thickBot="1" x14ac:dyDescent="0.25">
      <c r="A209" s="19"/>
      <c r="B209" s="20"/>
      <c r="C209" s="21"/>
      <c r="D209" s="22"/>
    </row>
    <row r="210" spans="1:4" ht="14.25" thickTop="1" thickBot="1" x14ac:dyDescent="0.25">
      <c r="B210" s="49" t="s">
        <v>211</v>
      </c>
      <c r="C210" s="54" t="s">
        <v>212</v>
      </c>
      <c r="D210" s="55">
        <f>SUM(D178:D209)</f>
        <v>113.25962910128386</v>
      </c>
    </row>
    <row r="211" spans="1:4" ht="14.25" thickTop="1" thickBot="1" x14ac:dyDescent="0.25"/>
    <row r="212" spans="1:4" ht="14.25" thickTop="1" thickBot="1" x14ac:dyDescent="0.25">
      <c r="A212" s="6" t="s">
        <v>51</v>
      </c>
      <c r="B212" s="7"/>
      <c r="C212" s="7" t="s">
        <v>9</v>
      </c>
      <c r="D212" s="8" t="s">
        <v>10</v>
      </c>
    </row>
    <row r="213" spans="1:4" ht="13.5" thickTop="1" x14ac:dyDescent="0.2">
      <c r="A213" s="9" t="s">
        <v>213</v>
      </c>
      <c r="B213" s="10" t="s">
        <v>214</v>
      </c>
      <c r="C213" s="11">
        <f>52.5/2</f>
        <v>26.25</v>
      </c>
      <c r="D213" s="33">
        <f t="shared" ref="D213:D225" si="5">C213/$B$6</f>
        <v>0.37446504992867335</v>
      </c>
    </row>
    <row r="214" spans="1:4" x14ac:dyDescent="0.2">
      <c r="A214" s="13" t="s">
        <v>11</v>
      </c>
      <c r="B214" s="14" t="s">
        <v>215</v>
      </c>
      <c r="C214" s="15">
        <v>100</v>
      </c>
      <c r="D214" s="33">
        <f t="shared" si="5"/>
        <v>1.4265335235378032</v>
      </c>
    </row>
    <row r="215" spans="1:4" x14ac:dyDescent="0.2">
      <c r="A215" s="13" t="s">
        <v>13</v>
      </c>
      <c r="B215" s="14" t="s">
        <v>216</v>
      </c>
      <c r="C215" s="15">
        <v>40</v>
      </c>
      <c r="D215" s="33">
        <f t="shared" si="5"/>
        <v>0.57061340941512129</v>
      </c>
    </row>
    <row r="216" spans="1:4" x14ac:dyDescent="0.2">
      <c r="A216" s="13" t="s">
        <v>17</v>
      </c>
      <c r="B216" s="14" t="s">
        <v>217</v>
      </c>
      <c r="C216" s="15">
        <v>25</v>
      </c>
      <c r="D216" s="33">
        <f t="shared" si="5"/>
        <v>0.35663338088445079</v>
      </c>
    </row>
    <row r="217" spans="1:4" x14ac:dyDescent="0.2">
      <c r="A217" s="13"/>
      <c r="B217" s="14" t="s">
        <v>218</v>
      </c>
      <c r="C217" s="15">
        <f>(30+50+300+150+600+230+115+50+160+200+150+300+400+150+10+150)/2</f>
        <v>1522.5</v>
      </c>
      <c r="D217" s="33">
        <f t="shared" si="5"/>
        <v>21.718972895863054</v>
      </c>
    </row>
    <row r="218" spans="1:4" x14ac:dyDescent="0.2">
      <c r="A218" s="13" t="s">
        <v>19</v>
      </c>
      <c r="B218" s="14" t="s">
        <v>219</v>
      </c>
      <c r="C218" s="15">
        <f>25/2</f>
        <v>12.5</v>
      </c>
      <c r="D218" s="33">
        <f t="shared" si="5"/>
        <v>0.1783166904422254</v>
      </c>
    </row>
    <row r="219" spans="1:4" x14ac:dyDescent="0.2">
      <c r="A219" s="13" t="s">
        <v>84</v>
      </c>
      <c r="B219" s="14" t="s">
        <v>220</v>
      </c>
      <c r="C219" s="15">
        <f>144/2</f>
        <v>72</v>
      </c>
      <c r="D219" s="33">
        <f t="shared" si="5"/>
        <v>1.0271041369472182</v>
      </c>
    </row>
    <row r="220" spans="1:4" x14ac:dyDescent="0.2">
      <c r="A220" s="13" t="s">
        <v>84</v>
      </c>
      <c r="B220" s="14" t="s">
        <v>217</v>
      </c>
      <c r="C220" s="15">
        <v>35</v>
      </c>
      <c r="D220" s="33">
        <f t="shared" si="5"/>
        <v>0.49928673323823114</v>
      </c>
    </row>
    <row r="221" spans="1:4" x14ac:dyDescent="0.2">
      <c r="A221" s="13" t="s">
        <v>29</v>
      </c>
      <c r="B221" s="14" t="s">
        <v>221</v>
      </c>
      <c r="C221" s="15">
        <v>10</v>
      </c>
      <c r="D221" s="33">
        <f t="shared" si="5"/>
        <v>0.14265335235378032</v>
      </c>
    </row>
    <row r="222" spans="1:4" x14ac:dyDescent="0.2">
      <c r="A222" s="13" t="s">
        <v>31</v>
      </c>
      <c r="B222" s="14" t="s">
        <v>222</v>
      </c>
      <c r="C222" s="15">
        <f>(7*5+7*15)/2</f>
        <v>70</v>
      </c>
      <c r="D222" s="33">
        <f t="shared" si="5"/>
        <v>0.99857346647646228</v>
      </c>
    </row>
    <row r="223" spans="1:4" x14ac:dyDescent="0.2">
      <c r="A223" s="13" t="s">
        <v>31</v>
      </c>
      <c r="B223" s="14" t="s">
        <v>223</v>
      </c>
      <c r="C223" s="15">
        <f>45/2</f>
        <v>22.5</v>
      </c>
      <c r="D223" s="33">
        <f t="shared" si="5"/>
        <v>0.32097004279600572</v>
      </c>
    </row>
    <row r="224" spans="1:4" x14ac:dyDescent="0.2">
      <c r="A224" s="13" t="s">
        <v>31</v>
      </c>
      <c r="B224" s="14" t="s">
        <v>220</v>
      </c>
      <c r="C224" s="15">
        <f>125/2</f>
        <v>62.5</v>
      </c>
      <c r="D224" s="33">
        <f t="shared" si="5"/>
        <v>0.891583452211127</v>
      </c>
    </row>
    <row r="225" spans="1:4" x14ac:dyDescent="0.2">
      <c r="A225" s="13" t="s">
        <v>31</v>
      </c>
      <c r="B225" s="14" t="s">
        <v>224</v>
      </c>
      <c r="C225" s="15">
        <f>70/2</f>
        <v>35</v>
      </c>
      <c r="D225" s="33">
        <f t="shared" si="5"/>
        <v>0.49928673323823114</v>
      </c>
    </row>
    <row r="226" spans="1:4" x14ac:dyDescent="0.2">
      <c r="A226" s="13"/>
      <c r="B226" s="14"/>
      <c r="C226" s="15"/>
      <c r="D226" s="33"/>
    </row>
    <row r="227" spans="1:4" x14ac:dyDescent="0.2">
      <c r="A227" s="13"/>
      <c r="B227" s="14"/>
      <c r="C227" s="15"/>
      <c r="D227" s="33"/>
    </row>
    <row r="228" spans="1:4" ht="13.5" thickBot="1" x14ac:dyDescent="0.25">
      <c r="A228" s="19"/>
      <c r="B228" s="20"/>
      <c r="C228" s="21"/>
      <c r="D228" s="22"/>
    </row>
    <row r="229" spans="1:4" ht="14.25" thickTop="1" thickBot="1" x14ac:dyDescent="0.25">
      <c r="B229" s="49" t="s">
        <v>225</v>
      </c>
      <c r="C229" s="56" t="s">
        <v>226</v>
      </c>
      <c r="D229" s="57">
        <f>SUM(D213:D228)</f>
        <v>29.004992867332387</v>
      </c>
    </row>
    <row r="230" spans="1:4" ht="13.5" thickTop="1" x14ac:dyDescent="0.2"/>
    <row r="231" spans="1:4" x14ac:dyDescent="0.2">
      <c r="C231" s="58"/>
    </row>
    <row r="232" spans="1:4" x14ac:dyDescent="0.2">
      <c r="C232" s="58"/>
    </row>
    <row r="235" spans="1:4" x14ac:dyDescent="0.2">
      <c r="C235" s="59"/>
    </row>
    <row r="239" spans="1:4" x14ac:dyDescent="0.2">
      <c r="C239" s="59"/>
    </row>
    <row r="240" spans="1:4" x14ac:dyDescent="0.2">
      <c r="C240" s="59"/>
    </row>
    <row r="242" spans="3:3" x14ac:dyDescent="0.2">
      <c r="C242" s="5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2012-12-13T15:09:25Z</dcterms:created>
  <dcterms:modified xsi:type="dcterms:W3CDTF">2012-12-13T15:10:29Z</dcterms:modified>
</cp:coreProperties>
</file>