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irmani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14" i="1" l="1"/>
  <c r="D114" i="1"/>
  <c r="C114" i="1"/>
  <c r="E113" i="1"/>
  <c r="E112" i="1"/>
  <c r="D111" i="1"/>
  <c r="E111" i="1" s="1"/>
  <c r="E110" i="1"/>
  <c r="E109" i="1"/>
  <c r="E108" i="1"/>
  <c r="E107" i="1"/>
  <c r="D106" i="1"/>
  <c r="E106" i="1" s="1"/>
  <c r="D105" i="1"/>
  <c r="E105" i="1" s="1"/>
  <c r="E104" i="1"/>
  <c r="E103" i="1"/>
  <c r="D102" i="1"/>
  <c r="E102" i="1" s="1"/>
  <c r="C101" i="1"/>
  <c r="E101" i="1" s="1"/>
  <c r="E117" i="1" s="1"/>
  <c r="I33" i="1" s="1"/>
  <c r="E95" i="1"/>
  <c r="E94" i="1"/>
  <c r="E93" i="1"/>
  <c r="E92" i="1"/>
  <c r="E91" i="1"/>
  <c r="E90" i="1"/>
  <c r="E89" i="1"/>
  <c r="E88" i="1"/>
  <c r="E87" i="1"/>
  <c r="D86" i="1"/>
  <c r="E86" i="1" s="1"/>
  <c r="E85" i="1"/>
  <c r="E98" i="1" s="1"/>
  <c r="I32" i="1" s="1"/>
  <c r="E80" i="1"/>
  <c r="E79" i="1"/>
  <c r="E78" i="1"/>
  <c r="E77" i="1"/>
  <c r="E76" i="1"/>
  <c r="E75" i="1"/>
  <c r="E74" i="1"/>
  <c r="E73" i="1"/>
  <c r="E72" i="1"/>
  <c r="E71" i="1"/>
  <c r="E70" i="1"/>
  <c r="E69" i="1"/>
  <c r="D68" i="1"/>
  <c r="E68" i="1" s="1"/>
  <c r="E82" i="1" s="1"/>
  <c r="I31" i="1" s="1"/>
  <c r="E67" i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E55" i="1"/>
  <c r="E54" i="1"/>
  <c r="D54" i="1"/>
  <c r="E53" i="1"/>
  <c r="E52" i="1"/>
  <c r="E51" i="1"/>
  <c r="D51" i="1"/>
  <c r="D50" i="1"/>
  <c r="E50" i="1" s="1"/>
  <c r="E49" i="1"/>
  <c r="E48" i="1"/>
  <c r="E47" i="1"/>
  <c r="D47" i="1"/>
  <c r="E46" i="1"/>
  <c r="E45" i="1"/>
  <c r="D45" i="1"/>
  <c r="I44" i="1"/>
  <c r="D44" i="1"/>
  <c r="E44" i="1" s="1"/>
  <c r="I43" i="1"/>
  <c r="D43" i="1"/>
  <c r="E43" i="1" s="1"/>
  <c r="E42" i="1"/>
  <c r="D42" i="1"/>
  <c r="D41" i="1"/>
  <c r="E41" i="1" s="1"/>
  <c r="I40" i="1"/>
  <c r="I49" i="1" s="1"/>
  <c r="E40" i="1"/>
  <c r="E39" i="1"/>
  <c r="E38" i="1"/>
  <c r="D38" i="1"/>
  <c r="E37" i="1"/>
  <c r="E36" i="1"/>
  <c r="D36" i="1"/>
  <c r="I35" i="1"/>
  <c r="D35" i="1"/>
  <c r="E35" i="1" s="1"/>
  <c r="E34" i="1"/>
  <c r="D33" i="1"/>
  <c r="E33" i="1" s="1"/>
  <c r="D32" i="1"/>
  <c r="E32" i="1" s="1"/>
  <c r="D31" i="1"/>
  <c r="E31" i="1" s="1"/>
  <c r="E30" i="1"/>
  <c r="D30" i="1"/>
  <c r="D29" i="1"/>
  <c r="E29" i="1" s="1"/>
  <c r="E28" i="1"/>
  <c r="D27" i="1"/>
  <c r="E27" i="1" s="1"/>
  <c r="E26" i="1"/>
  <c r="D25" i="1"/>
  <c r="E25" i="1" s="1"/>
  <c r="E24" i="1"/>
  <c r="D23" i="1"/>
  <c r="E23" i="1" s="1"/>
  <c r="E18" i="1"/>
  <c r="E17" i="1"/>
  <c r="E16" i="1"/>
  <c r="E15" i="1"/>
  <c r="E14" i="1"/>
  <c r="E13" i="1"/>
  <c r="E12" i="1"/>
  <c r="C11" i="1"/>
  <c r="E11" i="1" s="1"/>
  <c r="E20" i="1" s="1"/>
  <c r="A1" i="1"/>
  <c r="I28" i="1" l="1"/>
  <c r="I37" i="1" s="1"/>
  <c r="I29" i="1"/>
  <c r="E64" i="1"/>
  <c r="I30" i="1" s="1"/>
  <c r="I46" i="1" l="1"/>
  <c r="I50" i="1" s="1"/>
  <c r="I41" i="1"/>
</calcChain>
</file>

<file path=xl/comments1.xml><?xml version="1.0" encoding="utf-8"?>
<comments xmlns="http://schemas.openxmlformats.org/spreadsheetml/2006/main">
  <authors>
    <author>Elise et Kevin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Elise et Kevin:</t>
        </r>
        <r>
          <rPr>
            <sz val="9"/>
            <color indexed="81"/>
            <rFont val="Tahoma"/>
            <family val="2"/>
          </rPr>
          <t xml:space="preserve">
838 sur les marchés financiers au 31/12/12
851 d'acheté</t>
        </r>
      </text>
    </comment>
  </commentList>
</comments>
</file>

<file path=xl/sharedStrings.xml><?xml version="1.0" encoding="utf-8"?>
<sst xmlns="http://schemas.openxmlformats.org/spreadsheetml/2006/main" count="230" uniqueCount="133">
  <si>
    <t>PAYS:</t>
  </si>
  <si>
    <t>Birmanie</t>
  </si>
  <si>
    <t>Nb jours:</t>
  </si>
  <si>
    <t>Arrivée le 31 Décembre 2012 (soir) et départ le 16 Janvier 2013 (matin)</t>
  </si>
  <si>
    <t>Monnaie:</t>
  </si>
  <si>
    <t>Kyat</t>
  </si>
  <si>
    <t>Taux de change (1$=MNK):</t>
  </si>
  <si>
    <t>Taux de change (1€=$):</t>
  </si>
  <si>
    <t>Ville</t>
  </si>
  <si>
    <t>Hotel</t>
  </si>
  <si>
    <t>Prix/pers ($)</t>
  </si>
  <si>
    <t>Prix/pers (devise)</t>
  </si>
  <si>
    <t>Prix/pers (€)</t>
  </si>
  <si>
    <t>Yangon</t>
  </si>
  <si>
    <t>Motherland Inn 2</t>
  </si>
  <si>
    <t>Bagan</t>
  </si>
  <si>
    <t>Golden Myanmar Guesthouse</t>
  </si>
  <si>
    <t>Mandalay</t>
  </si>
  <si>
    <t>Fortune Hotel</t>
  </si>
  <si>
    <t>Kalaw</t>
  </si>
  <si>
    <t>Golden Kalaw Inn (2 nuits)</t>
  </si>
  <si>
    <t>Inle</t>
  </si>
  <si>
    <t>Hotel Big Drum (2 nuits)</t>
  </si>
  <si>
    <t>Kinpun</t>
  </si>
  <si>
    <t>Sea Sar Hotel</t>
  </si>
  <si>
    <t>Mahabandoola Guesthouse (2 nuits)</t>
  </si>
  <si>
    <t>Logement</t>
  </si>
  <si>
    <t>TOTAL Hotels</t>
  </si>
  <si>
    <t>Restaurant</t>
  </si>
  <si>
    <t>Motherland Inn 2 (midi)</t>
  </si>
  <si>
    <t>Route vers Bagan</t>
  </si>
  <si>
    <t>Gargote</t>
  </si>
  <si>
    <t>Eau + fruits</t>
  </si>
  <si>
    <t>Gargote (matin)</t>
  </si>
  <si>
    <t>Gargote (midi)</t>
  </si>
  <si>
    <t>Coût par jour / personne (€):</t>
  </si>
  <si>
    <t>En-cas</t>
  </si>
  <si>
    <t>Total:</t>
  </si>
  <si>
    <t>Gargote (soir)</t>
  </si>
  <si>
    <t>Logements:</t>
  </si>
  <si>
    <t>Achats provisions coca + gateau</t>
  </si>
  <si>
    <t>Repas:</t>
  </si>
  <si>
    <t>Transports:</t>
  </si>
  <si>
    <t>Excursions:</t>
  </si>
  <si>
    <t>Petit dej (samosa + café)</t>
  </si>
  <si>
    <t>Autres:</t>
  </si>
  <si>
    <t>Myat Thazin Restaurant (midi)</t>
  </si>
  <si>
    <t>Nylon Ice Cream Bar</t>
  </si>
  <si>
    <t>VISA</t>
  </si>
  <si>
    <t>Myat Thazin Restaurant (soir)</t>
  </si>
  <si>
    <t>Gargote + provisions (soir)</t>
  </si>
  <si>
    <t>(midi)</t>
  </si>
  <si>
    <t>Prévisionnel</t>
  </si>
  <si>
    <t>Eau + gateaux</t>
  </si>
  <si>
    <t>Tea restaurant (soir)</t>
  </si>
  <si>
    <t>Trek -&gt; Inle</t>
  </si>
  <si>
    <t>Eau + Betel</t>
  </si>
  <si>
    <t>Inle Lake</t>
  </si>
  <si>
    <t>Apéro + dîner</t>
  </si>
  <si>
    <t>Extra (bagues jade + rubis)</t>
  </si>
  <si>
    <t>Maing Thauk (midi)</t>
  </si>
  <si>
    <t>Extra (reste monnaie Kyat)</t>
  </si>
  <si>
    <t>Big Drum (soir)</t>
  </si>
  <si>
    <t>Eau</t>
  </si>
  <si>
    <t>Gargote + désserts (midi)</t>
  </si>
  <si>
    <t>Route -&gt; Bago</t>
  </si>
  <si>
    <t>Bago</t>
  </si>
  <si>
    <t>Cafés</t>
  </si>
  <si>
    <t>Tea shop (midi)</t>
  </si>
  <si>
    <t>Coca + Eau</t>
  </si>
  <si>
    <t>Sea Sar Restaurant (soir)</t>
  </si>
  <si>
    <t>Eau x 2</t>
  </si>
  <si>
    <t>Gargote route -&gt; rocher d'or (midi)</t>
  </si>
  <si>
    <t>Route -&gt; Yangon</t>
  </si>
  <si>
    <t>Jdonuts (petit dej)</t>
  </si>
  <si>
    <t>Gargote + soirée (soir)</t>
  </si>
  <si>
    <t>Aéroport de Yangon</t>
  </si>
  <si>
    <t>Petit dej</t>
  </si>
  <si>
    <t>Repas</t>
  </si>
  <si>
    <t>TOTAL Repas</t>
  </si>
  <si>
    <t>Type</t>
  </si>
  <si>
    <t>Trajet</t>
  </si>
  <si>
    <t>Taxi</t>
  </si>
  <si>
    <t>Hotel -&gt; Centre Yangon</t>
  </si>
  <si>
    <t>Hotel -&gt; Bus station Yangon</t>
  </si>
  <si>
    <t>Bus</t>
  </si>
  <si>
    <t>Yangon -&gt; Bagan</t>
  </si>
  <si>
    <t>Bagan -&gt; Mandalay</t>
  </si>
  <si>
    <t>Moto</t>
  </si>
  <si>
    <t>Colline de Mandalay -&gt; Hotel</t>
  </si>
  <si>
    <t>Visites environs de Mandalay (1 jour)</t>
  </si>
  <si>
    <t>Mandalay -&gt; Kalaw</t>
  </si>
  <si>
    <t>Inle -&gt; Bago</t>
  </si>
  <si>
    <t>Pick-up</t>
  </si>
  <si>
    <t>Yangon (?) -&gt; Bago</t>
  </si>
  <si>
    <t>Bago -&gt; Kinpun</t>
  </si>
  <si>
    <t>Truck</t>
  </si>
  <si>
    <t>A/R vers Rocher d'Or</t>
  </si>
  <si>
    <t>Kinpun -&gt; Yangon</t>
  </si>
  <si>
    <t>Bus de ville</t>
  </si>
  <si>
    <t>Yangon bus station -&gt; centre</t>
  </si>
  <si>
    <t>Yangon Guesthouse -&gt; Aéroport</t>
  </si>
  <si>
    <t>Transports</t>
  </si>
  <si>
    <t>TOTAL Transports</t>
  </si>
  <si>
    <t>Excursion</t>
  </si>
  <si>
    <t>Visite Pagode Sule</t>
  </si>
  <si>
    <t>Achat Plan + Entrée Bagan + loc vélo</t>
  </si>
  <si>
    <t>Location Vélos (2 jours)</t>
  </si>
  <si>
    <t>Inwa</t>
  </si>
  <si>
    <t>Bateau + calèche</t>
  </si>
  <si>
    <t>Kalaw -&gt; Inle</t>
  </si>
  <si>
    <t>Trek 3 jours avec guide</t>
  </si>
  <si>
    <t>Droit d'entrée</t>
  </si>
  <si>
    <t>Visite Winery &amp; dégustation</t>
  </si>
  <si>
    <t>Hot Spring</t>
  </si>
  <si>
    <t>Rocher d'or</t>
  </si>
  <si>
    <t>Paya Schwedagon</t>
  </si>
  <si>
    <t>Excursions</t>
  </si>
  <si>
    <t>TOTAL Excursions</t>
  </si>
  <si>
    <t>Bangkok</t>
  </si>
  <si>
    <t>Frais de change (THB/USD) [738THB]</t>
  </si>
  <si>
    <t>Achat Souvenirs</t>
  </si>
  <si>
    <t>Laundry</t>
  </si>
  <si>
    <t>Feuilles d'or + donation école monastique</t>
  </si>
  <si>
    <t>Achat ballon + stylo pour école</t>
  </si>
  <si>
    <t>Coup téléphone pour réservation hôtel</t>
  </si>
  <si>
    <t>Donation monastère</t>
  </si>
  <si>
    <t>Achat Hygiène</t>
  </si>
  <si>
    <t>Achat Souvenirs (chapeau)</t>
  </si>
  <si>
    <t>Toilettes</t>
  </si>
  <si>
    <t>Achats souvenirs</t>
  </si>
  <si>
    <t>Autres</t>
  </si>
  <si>
    <t>TOTAL 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</si>
</sst>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rgb="FFF5F2E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EE7"/>
        <bgColor indexed="64"/>
      </patternFill>
    </fill>
    <fill>
      <patternFill patternType="solid">
        <fgColor rgb="FFF5F2E3"/>
        <bgColor indexed="64"/>
      </patternFill>
    </fill>
    <fill>
      <patternFill patternType="solid">
        <fgColor rgb="FFD6D6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0066"/>
        <bgColor indexed="64"/>
      </patternFill>
    </fill>
  </fills>
  <borders count="31">
    <border>
      <left/>
      <right/>
      <top/>
      <bottom/>
      <diagonal/>
    </border>
    <border>
      <left style="thick">
        <color rgb="FFD6D6AD"/>
      </left>
      <right/>
      <top style="thick">
        <color rgb="FFD6D6AD"/>
      </top>
      <bottom style="thick">
        <color rgb="FFD6D6AD"/>
      </bottom>
      <diagonal/>
    </border>
    <border>
      <left/>
      <right/>
      <top style="thick">
        <color rgb="FFD6D6AD"/>
      </top>
      <bottom style="thick">
        <color rgb="FFD6D6AD"/>
      </bottom>
      <diagonal/>
    </border>
    <border>
      <left/>
      <right style="thick">
        <color rgb="FFD6D6AD"/>
      </right>
      <top style="thick">
        <color rgb="FFD6D6AD"/>
      </top>
      <bottom style="thick">
        <color rgb="FFD6D6AD"/>
      </bottom>
      <diagonal/>
    </border>
    <border>
      <left style="thick">
        <color rgb="FFD6D6AD"/>
      </left>
      <right/>
      <top style="thick">
        <color rgb="FFD6D6AD"/>
      </top>
      <bottom/>
      <diagonal/>
    </border>
    <border>
      <left/>
      <right/>
      <top style="thick">
        <color rgb="FFD6D6AD"/>
      </top>
      <bottom/>
      <diagonal/>
    </border>
    <border>
      <left/>
      <right style="thick">
        <color rgb="FFD6D6AD"/>
      </right>
      <top style="thick">
        <color rgb="FFD6D6AD"/>
      </top>
      <bottom/>
      <diagonal/>
    </border>
    <border>
      <left style="thick">
        <color rgb="FFD6D6AD"/>
      </left>
      <right/>
      <top/>
      <bottom/>
      <diagonal/>
    </border>
    <border>
      <left/>
      <right style="thick">
        <color rgb="FFD6D6AD"/>
      </right>
      <top/>
      <bottom/>
      <diagonal/>
    </border>
    <border>
      <left style="thick">
        <color rgb="FFD6D6AD"/>
      </left>
      <right/>
      <top/>
      <bottom style="thick">
        <color rgb="FFD6D6AD"/>
      </bottom>
      <diagonal/>
    </border>
    <border>
      <left/>
      <right/>
      <top/>
      <bottom style="thick">
        <color rgb="FFD6D6AD"/>
      </bottom>
      <diagonal/>
    </border>
    <border>
      <left/>
      <right style="thick">
        <color rgb="FFD6D6AD"/>
      </right>
      <top/>
      <bottom style="thick">
        <color rgb="FFD6D6AD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2" tint="-0.499984740745262"/>
      </right>
      <top/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medium">
        <color theme="2" tint="-0.499984740745262"/>
      </bottom>
      <diagonal/>
    </border>
    <border>
      <left/>
      <right/>
      <top style="dotted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dotted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dotted">
        <color indexed="64"/>
      </bottom>
      <diagonal/>
    </border>
    <border>
      <left/>
      <right/>
      <top style="medium">
        <color theme="2" tint="-0.499984740745262"/>
      </top>
      <bottom style="dotted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dotted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4" fontId="0" fillId="2" borderId="0" xfId="0" applyNumberForma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2" fontId="4" fillId="4" borderId="8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1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3" fillId="3" borderId="1" xfId="0" applyFont="1" applyFill="1" applyBorder="1"/>
    <xf numFmtId="4" fontId="3" fillId="3" borderId="3" xfId="0" applyNumberFormat="1" applyFont="1" applyFill="1" applyBorder="1" applyAlignment="1">
      <alignment horizontal="center"/>
    </xf>
    <xf numFmtId="0" fontId="3" fillId="6" borderId="0" xfId="0" applyFont="1" applyFill="1" applyBorder="1"/>
    <xf numFmtId="0" fontId="3" fillId="6" borderId="0" xfId="0" applyFont="1" applyFill="1" applyBorder="1" applyAlignment="1">
      <alignment horizontal="center"/>
    </xf>
    <xf numFmtId="0" fontId="3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5" borderId="15" xfId="0" applyFont="1" applyFill="1" applyBorder="1"/>
    <xf numFmtId="0" fontId="3" fillId="5" borderId="16" xfId="0" applyFont="1" applyFill="1" applyBorder="1"/>
    <xf numFmtId="2" fontId="3" fillId="5" borderId="17" xfId="0" applyNumberFormat="1" applyFont="1" applyFill="1" applyBorder="1" applyAlignment="1">
      <alignment horizontal="center"/>
    </xf>
    <xf numFmtId="0" fontId="4" fillId="4" borderId="18" xfId="0" applyFont="1" applyFill="1" applyBorder="1"/>
    <xf numFmtId="0" fontId="4" fillId="4" borderId="19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left"/>
    </xf>
    <xf numFmtId="0" fontId="4" fillId="4" borderId="21" xfId="0" applyFont="1" applyFill="1" applyBorder="1"/>
    <xf numFmtId="0" fontId="4" fillId="4" borderId="22" xfId="0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left"/>
    </xf>
    <xf numFmtId="0" fontId="4" fillId="4" borderId="22" xfId="0" applyFont="1" applyFill="1" applyBorder="1"/>
    <xf numFmtId="0" fontId="4" fillId="4" borderId="24" xfId="0" applyFont="1" applyFill="1" applyBorder="1"/>
    <xf numFmtId="0" fontId="4" fillId="4" borderId="25" xfId="0" applyFont="1" applyFill="1" applyBorder="1" applyAlignment="1">
      <alignment horizontal="right"/>
    </xf>
    <xf numFmtId="2" fontId="4" fillId="4" borderId="26" xfId="0" applyNumberFormat="1" applyFont="1" applyFill="1" applyBorder="1" applyAlignment="1">
      <alignment horizontal="left"/>
    </xf>
    <xf numFmtId="0" fontId="4" fillId="4" borderId="27" xfId="0" applyFont="1" applyFill="1" applyBorder="1"/>
    <xf numFmtId="0" fontId="4" fillId="4" borderId="28" xfId="0" applyFont="1" applyFill="1" applyBorder="1" applyAlignment="1">
      <alignment horizontal="right"/>
    </xf>
    <xf numFmtId="2" fontId="4" fillId="4" borderId="29" xfId="0" applyNumberFormat="1" applyFont="1" applyFill="1" applyBorder="1" applyAlignment="1">
      <alignment horizontal="left"/>
    </xf>
    <xf numFmtId="2" fontId="3" fillId="5" borderId="30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7" fillId="7" borderId="1" xfId="0" applyFont="1" applyFill="1" applyBorder="1"/>
    <xf numFmtId="4" fontId="7" fillId="7" borderId="3" xfId="0" applyNumberFormat="1" applyFont="1" applyFill="1" applyBorder="1" applyAlignment="1">
      <alignment horizontal="center"/>
    </xf>
    <xf numFmtId="0" fontId="3" fillId="4" borderId="1" xfId="0" applyFont="1" applyFill="1" applyBorder="1"/>
    <xf numFmtId="4" fontId="3" fillId="4" borderId="3" xfId="0" applyNumberFormat="1" applyFont="1" applyFill="1" applyBorder="1" applyAlignment="1">
      <alignment horizontal="center"/>
    </xf>
    <xf numFmtId="0" fontId="3" fillId="5" borderId="1" xfId="0" applyFont="1" applyFill="1" applyBorder="1"/>
    <xf numFmtId="4" fontId="3" fillId="5" borderId="3" xfId="0" applyNumberFormat="1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/>
    </xf>
    <xf numFmtId="4" fontId="4" fillId="4" borderId="6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7" fillId="8" borderId="1" xfId="0" applyFont="1" applyFill="1" applyBorder="1"/>
    <xf numFmtId="4" fontId="7" fillId="8" borderId="3" xfId="0" applyNumberFormat="1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Birmanie!$A$1</c:f>
          <c:strCache>
            <c:ptCount val="1"/>
            <c:pt idx="0">
              <c:v>BUDGET Birmanie</c:v>
            </c:pt>
          </c:strCache>
        </c:strRef>
      </c:tx>
      <c:layout/>
      <c:overlay val="0"/>
      <c:txPr>
        <a:bodyPr/>
        <a:lstStyle/>
        <a:p>
          <a:pPr>
            <a:defRPr b="1" baseline="0">
              <a:solidFill>
                <a:schemeClr val="bg2">
                  <a:lumMod val="25000"/>
                </a:schemeClr>
              </a:solidFill>
            </a:defRPr>
          </a:pPr>
          <a:endParaRPr lang="fr-FR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5DEE7"/>
              </a:solidFill>
            </c:spPr>
          </c:dPt>
          <c:dPt>
            <c:idx val="1"/>
            <c:bubble3D val="0"/>
            <c:spPr>
              <a:solidFill>
                <a:srgbClr val="993366"/>
              </a:solidFill>
            </c:spPr>
          </c:dPt>
          <c:dPt>
            <c:idx val="2"/>
            <c:bubble3D val="0"/>
            <c:spPr>
              <a:solidFill>
                <a:srgbClr val="F5F2E3"/>
              </a:solidFill>
            </c:spPr>
          </c:dPt>
          <c:dPt>
            <c:idx val="3"/>
            <c:bubble3D val="0"/>
            <c:spPr>
              <a:solidFill>
                <a:srgbClr val="D6D6AD"/>
              </a:solidFill>
            </c:spPr>
          </c:dPt>
          <c:dPt>
            <c:idx val="4"/>
            <c:bubble3D val="0"/>
            <c:spPr>
              <a:solidFill>
                <a:srgbClr val="660066"/>
              </a:solidFill>
            </c:spPr>
          </c:dPt>
          <c:dLbls>
            <c:dLbl>
              <c:idx val="1"/>
              <c:layout>
                <c:manualLayout>
                  <c:x val="1.545083787603482E-2"/>
                  <c:y val="5.42897155523404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1309436320459945E-2"/>
                  <c:y val="-2.1228707443088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(Birmanie!$B$20,Birmanie!$B$64,Birmanie!$B$82,Birmanie!$B$98,Birmanie!$B$117)</c:f>
              <c:strCache>
                <c:ptCount val="5"/>
                <c:pt idx="0">
                  <c:v>Logement</c:v>
                </c:pt>
                <c:pt idx="1">
                  <c:v>Repas</c:v>
                </c:pt>
                <c:pt idx="2">
                  <c:v>Transports</c:v>
                </c:pt>
                <c:pt idx="3">
                  <c:v>Excursions</c:v>
                </c:pt>
                <c:pt idx="4">
                  <c:v>Autres</c:v>
                </c:pt>
              </c:strCache>
            </c:strRef>
          </c:cat>
          <c:val>
            <c:numRef>
              <c:f>(Birmanie!$E$20,Birmanie!$E$64,Birmanie!$E$82,Birmanie!$E$98,Birmanie!$E$117)</c:f>
              <c:numCache>
                <c:formatCode>#,##0.00</c:formatCode>
                <c:ptCount val="5"/>
                <c:pt idx="0">
                  <c:v>62.793160841277043</c:v>
                </c:pt>
                <c:pt idx="1">
                  <c:v>54.607193587635265</c:v>
                </c:pt>
                <c:pt idx="2">
                  <c:v>76.943469353029414</c:v>
                </c:pt>
                <c:pt idx="3">
                  <c:v>73.593694742720757</c:v>
                </c:pt>
                <c:pt idx="4">
                  <c:v>21.983864706294604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chemeClr val="bg2">
          <a:lumMod val="50000"/>
        </a:schemeClr>
      </a:solidFill>
      <a:prstDash val="solid"/>
    </a:ln>
    <a:effectLst>
      <a:softEdge rad="12700"/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142875</xdr:rowOff>
    </xdr:from>
    <xdr:to>
      <xdr:col>12</xdr:col>
      <xdr:colOff>381000</xdr:colOff>
      <xdr:row>24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M/Suivi%20Budget%20par%20pay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aits"/>
      <sheetName val="Synhthèse"/>
      <sheetName val="Chine"/>
      <sheetName val="Mongolie"/>
      <sheetName val="Tibet"/>
      <sheetName val="Népal"/>
      <sheetName val="Inde"/>
      <sheetName val="Thailande"/>
      <sheetName val="Birmanie"/>
      <sheetName val="Laos"/>
      <sheetName val="Vietnam"/>
      <sheetName val="Cambodge"/>
      <sheetName val="Australie"/>
      <sheetName val="NZ"/>
      <sheetName val="Ile de Paques"/>
      <sheetName val="Chili"/>
      <sheetName val="Argentine"/>
      <sheetName val="Bolivie"/>
      <sheetName val="Perou"/>
      <sheetName val="Equate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38.56</v>
          </cell>
        </row>
      </sheetData>
      <sheetData sheetId="8">
        <row r="1">
          <cell r="A1" t="str">
            <v>BUDGET Birmanie</v>
          </cell>
        </row>
        <row r="20">
          <cell r="B20" t="str">
            <v>Logement</v>
          </cell>
          <cell r="E20">
            <v>62.793160841277043</v>
          </cell>
        </row>
        <row r="64">
          <cell r="B64" t="str">
            <v>Repas</v>
          </cell>
          <cell r="E64">
            <v>54.607193587635265</v>
          </cell>
        </row>
        <row r="82">
          <cell r="B82" t="str">
            <v>Transports</v>
          </cell>
          <cell r="E82">
            <v>76.943469353029414</v>
          </cell>
        </row>
        <row r="98">
          <cell r="B98" t="str">
            <v>Excursions</v>
          </cell>
          <cell r="E98">
            <v>73.593694742720757</v>
          </cell>
        </row>
        <row r="117">
          <cell r="B117" t="str">
            <v>Autres</v>
          </cell>
          <cell r="E117">
            <v>21.983864706294604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8"/>
  <sheetViews>
    <sheetView tabSelected="1" workbookViewId="0"/>
  </sheetViews>
  <sheetFormatPr baseColWidth="10" defaultRowHeight="12.75" x14ac:dyDescent="0.2"/>
  <cols>
    <col min="1" max="1" width="24.85546875" style="2" customWidth="1"/>
    <col min="2" max="2" width="31.5703125" style="2" customWidth="1"/>
    <col min="3" max="3" width="16.85546875" style="2" customWidth="1"/>
    <col min="4" max="4" width="16.85546875" style="2" bestFit="1" customWidth="1"/>
    <col min="5" max="5" width="15.140625" style="4" customWidth="1"/>
    <col min="6" max="6" width="14.42578125" style="2" customWidth="1"/>
    <col min="7" max="7" width="12.42578125" style="2" customWidth="1"/>
    <col min="8" max="16384" width="11.42578125" style="2"/>
  </cols>
  <sheetData>
    <row r="1" spans="1:6" x14ac:dyDescent="0.2">
      <c r="A1" s="1" t="str">
        <f>"BUDGET "&amp;B3</f>
        <v>BUDGET Birmanie</v>
      </c>
      <c r="D1" s="62"/>
      <c r="E1" s="63"/>
      <c r="F1" s="62"/>
    </row>
    <row r="3" spans="1:6" x14ac:dyDescent="0.2">
      <c r="A3" s="1" t="s">
        <v>0</v>
      </c>
      <c r="B3" s="3" t="s">
        <v>1</v>
      </c>
      <c r="C3" s="3"/>
    </row>
    <row r="4" spans="1:6" x14ac:dyDescent="0.2">
      <c r="A4" s="1" t="s">
        <v>2</v>
      </c>
      <c r="B4" s="3">
        <v>16</v>
      </c>
      <c r="C4" s="3" t="s">
        <v>3</v>
      </c>
    </row>
    <row r="5" spans="1:6" x14ac:dyDescent="0.2">
      <c r="A5" s="1" t="s">
        <v>4</v>
      </c>
      <c r="B5" s="5" t="s">
        <v>5</v>
      </c>
      <c r="C5" s="5"/>
    </row>
    <row r="6" spans="1:6" x14ac:dyDescent="0.2">
      <c r="A6" s="1" t="s">
        <v>6</v>
      </c>
      <c r="B6" s="3">
        <v>851</v>
      </c>
      <c r="C6" s="3"/>
    </row>
    <row r="7" spans="1:6" x14ac:dyDescent="0.2">
      <c r="A7" s="1" t="s">
        <v>7</v>
      </c>
      <c r="B7" s="6">
        <v>1.3218000000000001</v>
      </c>
      <c r="C7" s="3"/>
    </row>
    <row r="8" spans="1:6" x14ac:dyDescent="0.2">
      <c r="A8" s="1"/>
      <c r="B8" s="3"/>
      <c r="C8" s="3"/>
    </row>
    <row r="9" spans="1:6" ht="13.5" thickBot="1" x14ac:dyDescent="0.25"/>
    <row r="10" spans="1:6" ht="14.25" thickTop="1" thickBot="1" x14ac:dyDescent="0.25">
      <c r="A10" s="7" t="s">
        <v>8</v>
      </c>
      <c r="B10" s="8" t="s">
        <v>9</v>
      </c>
      <c r="C10" s="8" t="s">
        <v>10</v>
      </c>
      <c r="D10" s="8" t="s">
        <v>11</v>
      </c>
      <c r="E10" s="9" t="s">
        <v>12</v>
      </c>
    </row>
    <row r="11" spans="1:6" ht="13.5" thickTop="1" x14ac:dyDescent="0.2">
      <c r="A11" s="10" t="s">
        <v>13</v>
      </c>
      <c r="B11" s="11" t="s">
        <v>14</v>
      </c>
      <c r="C11" s="11">
        <f>25/2</f>
        <v>12.5</v>
      </c>
      <c r="D11" s="12"/>
      <c r="E11" s="13">
        <f t="shared" ref="E11:E18" si="0">C11/$B$7+D11/($B$6*$B$7)</f>
        <v>9.4568013315176263</v>
      </c>
    </row>
    <row r="12" spans="1:6" x14ac:dyDescent="0.2">
      <c r="A12" s="14" t="s">
        <v>15</v>
      </c>
      <c r="B12" s="15" t="s">
        <v>16</v>
      </c>
      <c r="C12" s="15">
        <v>10</v>
      </c>
      <c r="D12" s="16"/>
      <c r="E12" s="17">
        <f t="shared" si="0"/>
        <v>7.5654410652141015</v>
      </c>
    </row>
    <row r="13" spans="1:6" x14ac:dyDescent="0.2">
      <c r="A13" s="14" t="s">
        <v>17</v>
      </c>
      <c r="B13" s="15" t="s">
        <v>18</v>
      </c>
      <c r="C13" s="15">
        <v>10</v>
      </c>
      <c r="D13" s="16"/>
      <c r="E13" s="17">
        <f t="shared" si="0"/>
        <v>7.5654410652141015</v>
      </c>
    </row>
    <row r="14" spans="1:6" x14ac:dyDescent="0.2">
      <c r="A14" s="14" t="s">
        <v>19</v>
      </c>
      <c r="B14" s="15" t="s">
        <v>20</v>
      </c>
      <c r="C14" s="15">
        <v>7</v>
      </c>
      <c r="D14" s="16"/>
      <c r="E14" s="17">
        <f t="shared" si="0"/>
        <v>5.2958087456498708</v>
      </c>
    </row>
    <row r="15" spans="1:6" x14ac:dyDescent="0.2">
      <c r="A15" s="14" t="s">
        <v>21</v>
      </c>
      <c r="B15" s="15" t="s">
        <v>22</v>
      </c>
      <c r="C15" s="15">
        <v>20</v>
      </c>
      <c r="D15" s="16"/>
      <c r="E15" s="17">
        <f t="shared" si="0"/>
        <v>15.130882130428203</v>
      </c>
    </row>
    <row r="16" spans="1:6" x14ac:dyDescent="0.2">
      <c r="A16" s="14" t="s">
        <v>23</v>
      </c>
      <c r="B16" s="15" t="s">
        <v>24</v>
      </c>
      <c r="C16" s="15">
        <v>7.5</v>
      </c>
      <c r="D16" s="16"/>
      <c r="E16" s="18">
        <f t="shared" si="0"/>
        <v>5.6740807989105759</v>
      </c>
    </row>
    <row r="17" spans="1:9" x14ac:dyDescent="0.2">
      <c r="A17" s="14" t="s">
        <v>23</v>
      </c>
      <c r="B17" s="15" t="s">
        <v>24</v>
      </c>
      <c r="C17" s="15">
        <v>6</v>
      </c>
      <c r="D17" s="16"/>
      <c r="E17" s="18">
        <f t="shared" si="0"/>
        <v>4.5392646391284606</v>
      </c>
    </row>
    <row r="18" spans="1:9" x14ac:dyDescent="0.2">
      <c r="A18" s="14" t="s">
        <v>13</v>
      </c>
      <c r="B18" s="15" t="s">
        <v>25</v>
      </c>
      <c r="C18" s="15">
        <v>10</v>
      </c>
      <c r="D18" s="16"/>
      <c r="E18" s="18">
        <f t="shared" si="0"/>
        <v>7.5654410652141015</v>
      </c>
    </row>
    <row r="19" spans="1:9" ht="13.5" thickBot="1" x14ac:dyDescent="0.25">
      <c r="A19" s="19"/>
      <c r="B19" s="20"/>
      <c r="C19" s="20"/>
      <c r="D19" s="21"/>
      <c r="E19" s="22"/>
    </row>
    <row r="20" spans="1:9" ht="14.25" thickTop="1" thickBot="1" x14ac:dyDescent="0.25">
      <c r="A20" s="23"/>
      <c r="B20" s="24" t="s">
        <v>26</v>
      </c>
      <c r="C20" s="24"/>
      <c r="D20" s="25" t="s">
        <v>27</v>
      </c>
      <c r="E20" s="26">
        <f>SUM(E11:E19)</f>
        <v>62.793160841277043</v>
      </c>
    </row>
    <row r="21" spans="1:9" ht="14.25" thickTop="1" thickBot="1" x14ac:dyDescent="0.25">
      <c r="A21" s="23"/>
      <c r="B21" s="24"/>
      <c r="C21" s="24"/>
      <c r="D21" s="27"/>
      <c r="E21" s="28"/>
    </row>
    <row r="22" spans="1:9" ht="14.25" thickTop="1" thickBot="1" x14ac:dyDescent="0.25">
      <c r="A22" s="7" t="s">
        <v>8</v>
      </c>
      <c r="B22" s="8" t="s">
        <v>28</v>
      </c>
      <c r="C22" s="8" t="s">
        <v>10</v>
      </c>
      <c r="D22" s="8" t="s">
        <v>11</v>
      </c>
      <c r="E22" s="9" t="s">
        <v>12</v>
      </c>
    </row>
    <row r="23" spans="1:9" ht="13.5" thickTop="1" x14ac:dyDescent="0.2">
      <c r="A23" s="10" t="s">
        <v>13</v>
      </c>
      <c r="B23" s="11" t="s">
        <v>29</v>
      </c>
      <c r="C23" s="11"/>
      <c r="D23" s="12">
        <f>(600+2500)/2</f>
        <v>1550</v>
      </c>
      <c r="E23" s="13">
        <f t="shared" ref="E23:E61" si="1">C23/$B$7+D23/($B$6*$B$7)</f>
        <v>1.3779593009496893</v>
      </c>
    </row>
    <row r="24" spans="1:9" x14ac:dyDescent="0.2">
      <c r="A24" s="14" t="s">
        <v>30</v>
      </c>
      <c r="B24" s="15" t="s">
        <v>31</v>
      </c>
      <c r="C24" s="15"/>
      <c r="D24" s="16">
        <v>900</v>
      </c>
      <c r="E24" s="17">
        <f t="shared" si="1"/>
        <v>0.80010540055143253</v>
      </c>
    </row>
    <row r="25" spans="1:9" x14ac:dyDescent="0.2">
      <c r="A25" s="14" t="s">
        <v>13</v>
      </c>
      <c r="B25" s="15" t="s">
        <v>32</v>
      </c>
      <c r="C25" s="15"/>
      <c r="D25" s="16">
        <f>1300/2</f>
        <v>650</v>
      </c>
      <c r="E25" s="17">
        <f t="shared" si="1"/>
        <v>0.57785390039825679</v>
      </c>
    </row>
    <row r="26" spans="1:9" ht="13.5" thickBot="1" x14ac:dyDescent="0.25">
      <c r="A26" s="14" t="s">
        <v>15</v>
      </c>
      <c r="B26" s="15" t="s">
        <v>33</v>
      </c>
      <c r="C26" s="15"/>
      <c r="D26" s="16">
        <v>500</v>
      </c>
      <c r="E26" s="17">
        <f t="shared" si="1"/>
        <v>0.44450300030635143</v>
      </c>
    </row>
    <row r="27" spans="1:9" ht="13.5" thickBot="1" x14ac:dyDescent="0.25">
      <c r="A27" s="14" t="s">
        <v>15</v>
      </c>
      <c r="B27" s="15" t="s">
        <v>34</v>
      </c>
      <c r="C27" s="15"/>
      <c r="D27" s="16">
        <f>1850/2</f>
        <v>925</v>
      </c>
      <c r="E27" s="17">
        <f t="shared" si="1"/>
        <v>0.82233055056675008</v>
      </c>
      <c r="G27" s="29" t="s">
        <v>35</v>
      </c>
      <c r="H27" s="30"/>
      <c r="I27" s="31"/>
    </row>
    <row r="28" spans="1:9" ht="13.5" thickBot="1" x14ac:dyDescent="0.25">
      <c r="A28" s="14" t="s">
        <v>15</v>
      </c>
      <c r="B28" s="15" t="s">
        <v>36</v>
      </c>
      <c r="C28" s="15"/>
      <c r="D28" s="16">
        <v>700</v>
      </c>
      <c r="E28" s="17">
        <f t="shared" si="1"/>
        <v>0.62230420042889201</v>
      </c>
      <c r="G28" s="32"/>
      <c r="H28" s="33" t="s">
        <v>37</v>
      </c>
      <c r="I28" s="34">
        <f>(E20+E64+E82+E98+E117)/$B$4</f>
        <v>18.120086451934817</v>
      </c>
    </row>
    <row r="29" spans="1:9" x14ac:dyDescent="0.2">
      <c r="A29" s="14" t="s">
        <v>15</v>
      </c>
      <c r="B29" s="15" t="s">
        <v>38</v>
      </c>
      <c r="C29" s="15"/>
      <c r="D29" s="16">
        <f>(3500+300)/2</f>
        <v>1900</v>
      </c>
      <c r="E29" s="17">
        <f t="shared" si="1"/>
        <v>1.6891114011641353</v>
      </c>
      <c r="G29" s="35"/>
      <c r="H29" s="36" t="s">
        <v>39</v>
      </c>
      <c r="I29" s="37">
        <f>E20/B4</f>
        <v>3.9245725525798152</v>
      </c>
    </row>
    <row r="30" spans="1:9" x14ac:dyDescent="0.2">
      <c r="A30" s="14" t="s">
        <v>15</v>
      </c>
      <c r="B30" s="15" t="s">
        <v>40</v>
      </c>
      <c r="C30" s="15"/>
      <c r="D30" s="16">
        <f>1500/2</f>
        <v>750</v>
      </c>
      <c r="E30" s="17">
        <f t="shared" si="1"/>
        <v>0.66675450045952711</v>
      </c>
      <c r="G30" s="38"/>
      <c r="H30" s="39" t="s">
        <v>41</v>
      </c>
      <c r="I30" s="40">
        <f>E64/B4</f>
        <v>3.4129495992272041</v>
      </c>
    </row>
    <row r="31" spans="1:9" x14ac:dyDescent="0.2">
      <c r="A31" s="14" t="s">
        <v>15</v>
      </c>
      <c r="B31" s="15" t="s">
        <v>34</v>
      </c>
      <c r="C31" s="15"/>
      <c r="D31" s="16">
        <f>+(400+1200+1200)/2</f>
        <v>1400</v>
      </c>
      <c r="E31" s="17">
        <f t="shared" si="1"/>
        <v>1.244608400857784</v>
      </c>
      <c r="G31" s="38"/>
      <c r="H31" s="39" t="s">
        <v>42</v>
      </c>
      <c r="I31" s="40">
        <f>+E82/B4</f>
        <v>4.8089668345643384</v>
      </c>
    </row>
    <row r="32" spans="1:9" x14ac:dyDescent="0.2">
      <c r="A32" s="14" t="s">
        <v>15</v>
      </c>
      <c r="B32" s="15" t="s">
        <v>38</v>
      </c>
      <c r="C32" s="15"/>
      <c r="D32" s="16">
        <f>+(600+1600+1100+900)/2</f>
        <v>2100</v>
      </c>
      <c r="E32" s="17">
        <f t="shared" si="1"/>
        <v>1.8669126012866759</v>
      </c>
      <c r="G32" s="38"/>
      <c r="H32" s="41" t="s">
        <v>43</v>
      </c>
      <c r="I32" s="40">
        <f>+E98/B4</f>
        <v>4.5996059214200473</v>
      </c>
    </row>
    <row r="33" spans="1:9" ht="13.5" thickBot="1" x14ac:dyDescent="0.25">
      <c r="A33" s="14" t="s">
        <v>17</v>
      </c>
      <c r="B33" s="15" t="s">
        <v>44</v>
      </c>
      <c r="C33" s="15"/>
      <c r="D33" s="16">
        <f>1750/2</f>
        <v>875</v>
      </c>
      <c r="E33" s="17">
        <f t="shared" si="1"/>
        <v>0.77788025053611498</v>
      </c>
      <c r="G33" s="42"/>
      <c r="H33" s="43" t="s">
        <v>45</v>
      </c>
      <c r="I33" s="44">
        <f>+E117/B4</f>
        <v>1.3739915441434127</v>
      </c>
    </row>
    <row r="34" spans="1:9" ht="13.5" thickBot="1" x14ac:dyDescent="0.25">
      <c r="A34" s="14" t="s">
        <v>17</v>
      </c>
      <c r="B34" s="15" t="s">
        <v>46</v>
      </c>
      <c r="C34" s="15"/>
      <c r="D34" s="16">
        <v>1500</v>
      </c>
      <c r="E34" s="17">
        <f t="shared" si="1"/>
        <v>1.3335090009190542</v>
      </c>
    </row>
    <row r="35" spans="1:9" x14ac:dyDescent="0.2">
      <c r="A35" s="14" t="s">
        <v>17</v>
      </c>
      <c r="B35" s="15" t="s">
        <v>47</v>
      </c>
      <c r="C35" s="15"/>
      <c r="D35" s="16">
        <f>1400/2</f>
        <v>700</v>
      </c>
      <c r="E35" s="17">
        <f t="shared" si="1"/>
        <v>0.62230420042889201</v>
      </c>
      <c r="G35" s="45" t="s">
        <v>48</v>
      </c>
      <c r="H35" s="46"/>
      <c r="I35" s="47">
        <f>810/[1]Thailande!B6</f>
        <v>21.00622406639004</v>
      </c>
    </row>
    <row r="36" spans="1:9" ht="13.5" thickBot="1" x14ac:dyDescent="0.25">
      <c r="A36" s="14" t="s">
        <v>17</v>
      </c>
      <c r="B36" s="15" t="s">
        <v>49</v>
      </c>
      <c r="C36" s="15"/>
      <c r="D36" s="16">
        <f>5100/2</f>
        <v>2550</v>
      </c>
      <c r="E36" s="17">
        <f t="shared" si="1"/>
        <v>2.2669653015623923</v>
      </c>
    </row>
    <row r="37" spans="1:9" ht="13.5" thickBot="1" x14ac:dyDescent="0.25">
      <c r="A37" s="14" t="s">
        <v>17</v>
      </c>
      <c r="B37" s="15" t="s">
        <v>34</v>
      </c>
      <c r="C37" s="15"/>
      <c r="D37" s="16">
        <v>1200</v>
      </c>
      <c r="E37" s="17">
        <f t="shared" si="1"/>
        <v>1.0668072007352434</v>
      </c>
      <c r="G37" s="32"/>
      <c r="H37" s="33" t="s">
        <v>37</v>
      </c>
      <c r="I37" s="34">
        <f>I28*$B$4+I35</f>
        <v>310.92760729734709</v>
      </c>
    </row>
    <row r="38" spans="1:9" ht="13.5" thickBot="1" x14ac:dyDescent="0.25">
      <c r="A38" s="14" t="s">
        <v>17</v>
      </c>
      <c r="B38" s="15" t="s">
        <v>50</v>
      </c>
      <c r="C38" s="15"/>
      <c r="D38" s="16">
        <f>(700+1200+1600)/2</f>
        <v>1750</v>
      </c>
      <c r="E38" s="17">
        <f t="shared" si="1"/>
        <v>1.55576050107223</v>
      </c>
    </row>
    <row r="39" spans="1:9" ht="13.5" thickBot="1" x14ac:dyDescent="0.25">
      <c r="A39" s="14" t="s">
        <v>19</v>
      </c>
      <c r="B39" s="15" t="s">
        <v>51</v>
      </c>
      <c r="C39" s="15"/>
      <c r="D39" s="16">
        <v>2500</v>
      </c>
      <c r="E39" s="17">
        <f t="shared" si="1"/>
        <v>2.222515001531757</v>
      </c>
      <c r="G39" s="29" t="s">
        <v>52</v>
      </c>
      <c r="H39" s="30"/>
      <c r="I39" s="31"/>
    </row>
    <row r="40" spans="1:9" ht="13.5" thickBot="1" x14ac:dyDescent="0.25">
      <c r="A40" s="14" t="s">
        <v>19</v>
      </c>
      <c r="B40" s="15" t="s">
        <v>53</v>
      </c>
      <c r="C40" s="15"/>
      <c r="D40" s="16">
        <v>600</v>
      </c>
      <c r="E40" s="17">
        <f t="shared" si="1"/>
        <v>0.53340360036762169</v>
      </c>
      <c r="G40" s="32"/>
      <c r="H40" s="33" t="s">
        <v>37</v>
      </c>
      <c r="I40" s="34">
        <f>30*B4</f>
        <v>480</v>
      </c>
    </row>
    <row r="41" spans="1:9" ht="13.5" thickBot="1" x14ac:dyDescent="0.25">
      <c r="A41" s="14" t="s">
        <v>19</v>
      </c>
      <c r="B41" s="15" t="s">
        <v>54</v>
      </c>
      <c r="C41" s="15"/>
      <c r="D41" s="16">
        <f>(400+1200+300)/2</f>
        <v>950</v>
      </c>
      <c r="E41" s="17">
        <f t="shared" si="1"/>
        <v>0.84455570058206764</v>
      </c>
      <c r="I41" s="48">
        <f>I40-I37</f>
        <v>169.07239270265291</v>
      </c>
    </row>
    <row r="42" spans="1:9" x14ac:dyDescent="0.2">
      <c r="A42" s="14" t="s">
        <v>55</v>
      </c>
      <c r="B42" s="15" t="s">
        <v>56</v>
      </c>
      <c r="C42" s="15"/>
      <c r="D42" s="16">
        <f>(400*2+300*2+200)/2</f>
        <v>800</v>
      </c>
      <c r="E42" s="18">
        <f t="shared" si="1"/>
        <v>0.71120480049016221</v>
      </c>
    </row>
    <row r="43" spans="1:9" x14ac:dyDescent="0.2">
      <c r="A43" s="14" t="s">
        <v>57</v>
      </c>
      <c r="B43" s="15" t="s">
        <v>58</v>
      </c>
      <c r="C43" s="15"/>
      <c r="D43" s="16">
        <f>(300+3000+700+5000)/2</f>
        <v>4500</v>
      </c>
      <c r="E43" s="18">
        <f t="shared" si="1"/>
        <v>4.0005270027571624</v>
      </c>
      <c r="G43" s="38" t="s">
        <v>59</v>
      </c>
      <c r="H43" s="39"/>
      <c r="I43" s="40">
        <f>120/2/$B$7</f>
        <v>45.392646391284607</v>
      </c>
    </row>
    <row r="44" spans="1:9" x14ac:dyDescent="0.2">
      <c r="A44" s="14" t="s">
        <v>57</v>
      </c>
      <c r="B44" s="15" t="s">
        <v>60</v>
      </c>
      <c r="C44" s="15"/>
      <c r="D44" s="16">
        <f>(3000+300)/2</f>
        <v>1650</v>
      </c>
      <c r="E44" s="18">
        <f t="shared" si="1"/>
        <v>1.4668599010109598</v>
      </c>
      <c r="G44" s="38" t="s">
        <v>61</v>
      </c>
      <c r="H44" s="39"/>
      <c r="I44" s="40">
        <f>5100/2/B6/B7</f>
        <v>2.2669653015623923</v>
      </c>
    </row>
    <row r="45" spans="1:9" ht="13.5" thickBot="1" x14ac:dyDescent="0.25">
      <c r="A45" s="14" t="s">
        <v>57</v>
      </c>
      <c r="B45" s="15" t="s">
        <v>62</v>
      </c>
      <c r="C45" s="15"/>
      <c r="D45" s="16">
        <f>5900/2</f>
        <v>2950</v>
      </c>
      <c r="E45" s="18">
        <f t="shared" si="1"/>
        <v>2.6225677018074731</v>
      </c>
    </row>
    <row r="46" spans="1:9" ht="13.5" thickBot="1" x14ac:dyDescent="0.25">
      <c r="A46" s="14" t="s">
        <v>57</v>
      </c>
      <c r="B46" s="15" t="s">
        <v>63</v>
      </c>
      <c r="C46" s="15"/>
      <c r="D46" s="16">
        <v>450</v>
      </c>
      <c r="E46" s="18">
        <f t="shared" si="1"/>
        <v>0.40005270027571627</v>
      </c>
      <c r="G46" s="32"/>
      <c r="H46" s="33" t="s">
        <v>37</v>
      </c>
      <c r="I46" s="34">
        <f>I43+I37+I44</f>
        <v>358.58721899019406</v>
      </c>
    </row>
    <row r="47" spans="1:9" ht="13.5" thickBot="1" x14ac:dyDescent="0.25">
      <c r="A47" s="14" t="s">
        <v>57</v>
      </c>
      <c r="B47" s="15" t="s">
        <v>64</v>
      </c>
      <c r="C47" s="15"/>
      <c r="D47" s="16">
        <f>(2400+1700)/2</f>
        <v>2050</v>
      </c>
      <c r="E47" s="18">
        <f t="shared" si="1"/>
        <v>1.8224623012560408</v>
      </c>
    </row>
    <row r="48" spans="1:9" ht="13.5" thickBot="1" x14ac:dyDescent="0.25">
      <c r="A48" s="14" t="s">
        <v>65</v>
      </c>
      <c r="B48" s="15" t="s">
        <v>31</v>
      </c>
      <c r="C48" s="15"/>
      <c r="D48" s="16">
        <v>800</v>
      </c>
      <c r="E48" s="18">
        <f t="shared" si="1"/>
        <v>0.71120480049016221</v>
      </c>
      <c r="G48" s="29" t="s">
        <v>52</v>
      </c>
      <c r="H48" s="30"/>
      <c r="I48" s="31"/>
    </row>
    <row r="49" spans="1:9" ht="13.5" thickBot="1" x14ac:dyDescent="0.25">
      <c r="A49" s="14" t="s">
        <v>66</v>
      </c>
      <c r="B49" s="15" t="s">
        <v>67</v>
      </c>
      <c r="C49" s="15"/>
      <c r="D49" s="16">
        <v>200</v>
      </c>
      <c r="E49" s="18">
        <f t="shared" si="1"/>
        <v>0.17780120012254055</v>
      </c>
      <c r="G49" s="32"/>
      <c r="H49" s="33" t="s">
        <v>37</v>
      </c>
      <c r="I49" s="34">
        <f>I40</f>
        <v>480</v>
      </c>
    </row>
    <row r="50" spans="1:9" ht="13.5" thickBot="1" x14ac:dyDescent="0.25">
      <c r="A50" s="14" t="s">
        <v>23</v>
      </c>
      <c r="B50" s="15" t="s">
        <v>68</v>
      </c>
      <c r="C50" s="15"/>
      <c r="D50" s="16">
        <f>(1100+200)/2</f>
        <v>650</v>
      </c>
      <c r="E50" s="18">
        <f t="shared" si="1"/>
        <v>0.57785390039825679</v>
      </c>
      <c r="I50" s="48">
        <f>I49-I46</f>
        <v>121.41278100980594</v>
      </c>
    </row>
    <row r="51" spans="1:9" x14ac:dyDescent="0.2">
      <c r="A51" s="14" t="s">
        <v>23</v>
      </c>
      <c r="B51" s="15" t="s">
        <v>69</v>
      </c>
      <c r="C51" s="15"/>
      <c r="D51" s="16">
        <f>1100/2</f>
        <v>550</v>
      </c>
      <c r="E51" s="18">
        <f t="shared" si="1"/>
        <v>0.48895330033698653</v>
      </c>
    </row>
    <row r="52" spans="1:9" x14ac:dyDescent="0.2">
      <c r="A52" s="14" t="s">
        <v>23</v>
      </c>
      <c r="B52" s="15" t="s">
        <v>70</v>
      </c>
      <c r="C52" s="15"/>
      <c r="D52" s="16">
        <v>1500</v>
      </c>
      <c r="E52" s="18">
        <f t="shared" si="1"/>
        <v>1.3335090009190542</v>
      </c>
    </row>
    <row r="53" spans="1:9" x14ac:dyDescent="0.2">
      <c r="A53" s="14" t="s">
        <v>23</v>
      </c>
      <c r="B53" s="15" t="s">
        <v>71</v>
      </c>
      <c r="C53" s="15"/>
      <c r="D53" s="16">
        <v>300</v>
      </c>
      <c r="E53" s="18">
        <f t="shared" si="1"/>
        <v>0.26670180018381084</v>
      </c>
    </row>
    <row r="54" spans="1:9" x14ac:dyDescent="0.2">
      <c r="A54" s="14" t="s">
        <v>23</v>
      </c>
      <c r="B54" s="15" t="s">
        <v>72</v>
      </c>
      <c r="C54" s="15"/>
      <c r="D54" s="16">
        <f>(1200+500)/2</f>
        <v>850</v>
      </c>
      <c r="E54" s="18">
        <f t="shared" si="1"/>
        <v>0.75565510052079743</v>
      </c>
    </row>
    <row r="55" spans="1:9" x14ac:dyDescent="0.2">
      <c r="A55" s="14" t="s">
        <v>23</v>
      </c>
      <c r="B55" s="15" t="s">
        <v>38</v>
      </c>
      <c r="C55" s="15"/>
      <c r="D55" s="16">
        <v>1500</v>
      </c>
      <c r="E55" s="18">
        <f t="shared" si="1"/>
        <v>1.3335090009190542</v>
      </c>
    </row>
    <row r="56" spans="1:9" x14ac:dyDescent="0.2">
      <c r="A56" s="14" t="s">
        <v>73</v>
      </c>
      <c r="B56" s="15" t="s">
        <v>34</v>
      </c>
      <c r="C56" s="15"/>
      <c r="D56" s="16">
        <f>1500/2</f>
        <v>750</v>
      </c>
      <c r="E56" s="18">
        <f t="shared" si="1"/>
        <v>0.66675450045952711</v>
      </c>
    </row>
    <row r="57" spans="1:9" x14ac:dyDescent="0.2">
      <c r="A57" s="14" t="s">
        <v>13</v>
      </c>
      <c r="B57" s="15" t="s">
        <v>38</v>
      </c>
      <c r="C57" s="15"/>
      <c r="D57" s="16">
        <f>(300+2600)/2</f>
        <v>1450</v>
      </c>
      <c r="E57" s="18">
        <f t="shared" si="1"/>
        <v>1.2890587008884191</v>
      </c>
    </row>
    <row r="58" spans="1:9" x14ac:dyDescent="0.2">
      <c r="A58" s="14" t="s">
        <v>13</v>
      </c>
      <c r="B58" s="15" t="s">
        <v>74</v>
      </c>
      <c r="C58" s="15"/>
      <c r="D58" s="16">
        <f>3050/2</f>
        <v>1525</v>
      </c>
      <c r="E58" s="18">
        <f t="shared" si="1"/>
        <v>1.3557341509343719</v>
      </c>
    </row>
    <row r="59" spans="1:9" x14ac:dyDescent="0.2">
      <c r="A59" s="14" t="s">
        <v>13</v>
      </c>
      <c r="B59" s="15" t="s">
        <v>34</v>
      </c>
      <c r="C59" s="15"/>
      <c r="D59" s="16">
        <f>(300+2600+200+1400)/2</f>
        <v>2250</v>
      </c>
      <c r="E59" s="18">
        <f t="shared" si="1"/>
        <v>2.0002635013785812</v>
      </c>
    </row>
    <row r="60" spans="1:9" x14ac:dyDescent="0.2">
      <c r="A60" s="14" t="s">
        <v>13</v>
      </c>
      <c r="B60" s="15" t="s">
        <v>75</v>
      </c>
      <c r="C60" s="15"/>
      <c r="D60" s="16">
        <f>(2900+300+2500+800)/2</f>
        <v>3250</v>
      </c>
      <c r="E60" s="18">
        <f t="shared" si="1"/>
        <v>2.8892695019912842</v>
      </c>
    </row>
    <row r="61" spans="1:9" x14ac:dyDescent="0.2">
      <c r="A61" s="14" t="s">
        <v>76</v>
      </c>
      <c r="B61" s="15" t="s">
        <v>77</v>
      </c>
      <c r="C61" s="15"/>
      <c r="D61" s="16">
        <f>18900/2</f>
        <v>9450</v>
      </c>
      <c r="E61" s="18">
        <f t="shared" si="1"/>
        <v>8.4011067057900419</v>
      </c>
    </row>
    <row r="62" spans="1:9" x14ac:dyDescent="0.2">
      <c r="A62" s="14"/>
      <c r="B62" s="15"/>
      <c r="C62" s="15"/>
      <c r="D62" s="16"/>
      <c r="E62" s="49"/>
    </row>
    <row r="63" spans="1:9" ht="13.5" thickBot="1" x14ac:dyDescent="0.25">
      <c r="A63" s="19"/>
      <c r="B63" s="20"/>
      <c r="C63" s="20"/>
      <c r="D63" s="21"/>
      <c r="E63" s="22"/>
    </row>
    <row r="64" spans="1:9" ht="14.25" thickTop="1" thickBot="1" x14ac:dyDescent="0.25">
      <c r="B64" s="50" t="s">
        <v>78</v>
      </c>
      <c r="C64" s="50"/>
      <c r="D64" s="51" t="s">
        <v>79</v>
      </c>
      <c r="E64" s="52">
        <f>SUM(E23:E63)</f>
        <v>54.607193587635265</v>
      </c>
    </row>
    <row r="65" spans="1:5" ht="14.25" thickTop="1" thickBot="1" x14ac:dyDescent="0.25">
      <c r="B65" s="4"/>
      <c r="C65" s="4"/>
    </row>
    <row r="66" spans="1:5" ht="14.25" thickTop="1" thickBot="1" x14ac:dyDescent="0.25">
      <c r="A66" s="7" t="s">
        <v>80</v>
      </c>
      <c r="B66" s="8" t="s">
        <v>81</v>
      </c>
      <c r="C66" s="8" t="s">
        <v>10</v>
      </c>
      <c r="D66" s="8" t="s">
        <v>11</v>
      </c>
      <c r="E66" s="9" t="s">
        <v>12</v>
      </c>
    </row>
    <row r="67" spans="1:5" ht="13.5" thickTop="1" x14ac:dyDescent="0.2">
      <c r="A67" s="10" t="s">
        <v>82</v>
      </c>
      <c r="B67" s="11" t="s">
        <v>83</v>
      </c>
      <c r="C67" s="11"/>
      <c r="D67" s="12">
        <v>1000</v>
      </c>
      <c r="E67" s="13">
        <f t="shared" ref="E67:E80" si="2">C67/$B$7+D67/($B$6*$B$7)</f>
        <v>0.88900600061270285</v>
      </c>
    </row>
    <row r="68" spans="1:5" x14ac:dyDescent="0.2">
      <c r="A68" s="14" t="s">
        <v>82</v>
      </c>
      <c r="B68" s="15" t="s">
        <v>84</v>
      </c>
      <c r="C68" s="15"/>
      <c r="D68" s="16">
        <f>4100/2</f>
        <v>2050</v>
      </c>
      <c r="E68" s="17">
        <f t="shared" si="2"/>
        <v>1.8224623012560408</v>
      </c>
    </row>
    <row r="69" spans="1:5" x14ac:dyDescent="0.2">
      <c r="A69" s="14" t="s">
        <v>85</v>
      </c>
      <c r="B69" s="15" t="s">
        <v>86</v>
      </c>
      <c r="C69" s="15"/>
      <c r="D69" s="16">
        <v>15000</v>
      </c>
      <c r="E69" s="17">
        <f t="shared" si="2"/>
        <v>13.335090009190543</v>
      </c>
    </row>
    <row r="70" spans="1:5" x14ac:dyDescent="0.2">
      <c r="A70" s="14" t="s">
        <v>85</v>
      </c>
      <c r="B70" s="15" t="s">
        <v>87</v>
      </c>
      <c r="C70" s="15"/>
      <c r="D70" s="16">
        <v>7500</v>
      </c>
      <c r="E70" s="17">
        <f t="shared" si="2"/>
        <v>6.6675450045952713</v>
      </c>
    </row>
    <row r="71" spans="1:5" x14ac:dyDescent="0.2">
      <c r="A71" s="14" t="s">
        <v>88</v>
      </c>
      <c r="B71" s="15" t="s">
        <v>89</v>
      </c>
      <c r="C71" s="15"/>
      <c r="D71" s="16">
        <v>1000</v>
      </c>
      <c r="E71" s="17">
        <f t="shared" si="2"/>
        <v>0.88900600061270285</v>
      </c>
    </row>
    <row r="72" spans="1:5" x14ac:dyDescent="0.2">
      <c r="A72" s="14" t="s">
        <v>82</v>
      </c>
      <c r="B72" s="15" t="s">
        <v>90</v>
      </c>
      <c r="C72" s="15"/>
      <c r="D72" s="16">
        <v>15000</v>
      </c>
      <c r="E72" s="17">
        <f t="shared" si="2"/>
        <v>13.335090009190543</v>
      </c>
    </row>
    <row r="73" spans="1:5" x14ac:dyDescent="0.2">
      <c r="A73" s="14" t="s">
        <v>85</v>
      </c>
      <c r="B73" s="15" t="s">
        <v>91</v>
      </c>
      <c r="C73" s="15"/>
      <c r="D73" s="16">
        <v>10000</v>
      </c>
      <c r="E73" s="17">
        <f t="shared" si="2"/>
        <v>8.8900600061270278</v>
      </c>
    </row>
    <row r="74" spans="1:5" x14ac:dyDescent="0.2">
      <c r="A74" s="14" t="s">
        <v>85</v>
      </c>
      <c r="B74" s="15" t="s">
        <v>92</v>
      </c>
      <c r="C74" s="15"/>
      <c r="D74" s="16">
        <v>14000</v>
      </c>
      <c r="E74" s="17">
        <f t="shared" si="2"/>
        <v>12.44608400857784</v>
      </c>
    </row>
    <row r="75" spans="1:5" x14ac:dyDescent="0.2">
      <c r="A75" s="14" t="s">
        <v>93</v>
      </c>
      <c r="B75" s="15" t="s">
        <v>94</v>
      </c>
      <c r="C75" s="15"/>
      <c r="D75" s="16">
        <v>1500</v>
      </c>
      <c r="E75" s="17">
        <f t="shared" si="2"/>
        <v>1.3335090009190542</v>
      </c>
    </row>
    <row r="76" spans="1:5" x14ac:dyDescent="0.2">
      <c r="A76" s="14" t="s">
        <v>85</v>
      </c>
      <c r="B76" s="15" t="s">
        <v>95</v>
      </c>
      <c r="C76" s="15"/>
      <c r="D76" s="16">
        <v>6000</v>
      </c>
      <c r="E76" s="17">
        <f t="shared" si="2"/>
        <v>5.3340360036762169</v>
      </c>
    </row>
    <row r="77" spans="1:5" x14ac:dyDescent="0.2">
      <c r="A77" s="14" t="s">
        <v>96</v>
      </c>
      <c r="B77" s="15" t="s">
        <v>97</v>
      </c>
      <c r="C77" s="15"/>
      <c r="D77" s="16">
        <v>3000</v>
      </c>
      <c r="E77" s="17">
        <f t="shared" si="2"/>
        <v>2.6670180018381084</v>
      </c>
    </row>
    <row r="78" spans="1:5" x14ac:dyDescent="0.2">
      <c r="A78" s="14" t="s">
        <v>85</v>
      </c>
      <c r="B78" s="15" t="s">
        <v>98</v>
      </c>
      <c r="C78" s="15"/>
      <c r="D78" s="16">
        <v>7000</v>
      </c>
      <c r="E78" s="17">
        <f t="shared" si="2"/>
        <v>6.2230420042889198</v>
      </c>
    </row>
    <row r="79" spans="1:5" x14ac:dyDescent="0.2">
      <c r="A79" s="14" t="s">
        <v>99</v>
      </c>
      <c r="B79" s="15" t="s">
        <v>100</v>
      </c>
      <c r="C79" s="15"/>
      <c r="D79" s="16">
        <v>500</v>
      </c>
      <c r="E79" s="17">
        <f t="shared" si="2"/>
        <v>0.44450300030635143</v>
      </c>
    </row>
    <row r="80" spans="1:5" x14ac:dyDescent="0.2">
      <c r="A80" s="14" t="s">
        <v>82</v>
      </c>
      <c r="B80" s="15" t="s">
        <v>101</v>
      </c>
      <c r="C80" s="15"/>
      <c r="D80" s="16">
        <v>3000</v>
      </c>
      <c r="E80" s="17">
        <f t="shared" si="2"/>
        <v>2.6670180018381084</v>
      </c>
    </row>
    <row r="81" spans="1:5" ht="13.5" thickBot="1" x14ac:dyDescent="0.25">
      <c r="A81" s="19"/>
      <c r="B81" s="20"/>
      <c r="C81" s="20"/>
      <c r="D81" s="21"/>
      <c r="E81" s="22"/>
    </row>
    <row r="82" spans="1:5" ht="14.25" thickTop="1" thickBot="1" x14ac:dyDescent="0.25">
      <c r="A82" s="23"/>
      <c r="B82" s="24" t="s">
        <v>102</v>
      </c>
      <c r="C82" s="24"/>
      <c r="D82" s="53" t="s">
        <v>103</v>
      </c>
      <c r="E82" s="54">
        <f>SUM(E67:E81)</f>
        <v>76.943469353029414</v>
      </c>
    </row>
    <row r="83" spans="1:5" ht="14.25" thickTop="1" thickBot="1" x14ac:dyDescent="0.25">
      <c r="B83" s="4"/>
      <c r="C83" s="4"/>
    </row>
    <row r="84" spans="1:5" ht="14.25" thickTop="1" thickBot="1" x14ac:dyDescent="0.25">
      <c r="A84" s="7" t="s">
        <v>8</v>
      </c>
      <c r="B84" s="8" t="s">
        <v>104</v>
      </c>
      <c r="C84" s="8" t="s">
        <v>10</v>
      </c>
      <c r="D84" s="8" t="s">
        <v>11</v>
      </c>
      <c r="E84" s="9" t="s">
        <v>12</v>
      </c>
    </row>
    <row r="85" spans="1:5" ht="13.5" thickTop="1" x14ac:dyDescent="0.2">
      <c r="A85" s="10" t="s">
        <v>13</v>
      </c>
      <c r="B85" s="11" t="s">
        <v>105</v>
      </c>
      <c r="C85" s="11">
        <v>2</v>
      </c>
      <c r="D85" s="12"/>
      <c r="E85" s="13">
        <f t="shared" ref="E85:E95" si="3">C85/$B$7+D85/($B$6*$B$7)</f>
        <v>1.5130882130428203</v>
      </c>
    </row>
    <row r="86" spans="1:5" x14ac:dyDescent="0.2">
      <c r="A86" s="14" t="s">
        <v>15</v>
      </c>
      <c r="B86" s="15" t="s">
        <v>106</v>
      </c>
      <c r="C86" s="15">
        <v>5</v>
      </c>
      <c r="D86" s="16">
        <f>500+1500</f>
        <v>2000</v>
      </c>
      <c r="E86" s="17">
        <f t="shared" si="3"/>
        <v>5.5607325338324562</v>
      </c>
    </row>
    <row r="87" spans="1:5" x14ac:dyDescent="0.2">
      <c r="A87" s="14" t="s">
        <v>15</v>
      </c>
      <c r="B87" s="15" t="s">
        <v>107</v>
      </c>
      <c r="C87" s="15"/>
      <c r="D87" s="16">
        <v>3000</v>
      </c>
      <c r="E87" s="17">
        <f t="shared" si="3"/>
        <v>2.6670180018381084</v>
      </c>
    </row>
    <row r="88" spans="1:5" x14ac:dyDescent="0.2">
      <c r="A88" s="14" t="s">
        <v>108</v>
      </c>
      <c r="B88" s="15" t="s">
        <v>109</v>
      </c>
      <c r="C88" s="15"/>
      <c r="D88" s="16">
        <v>3000</v>
      </c>
      <c r="E88" s="17">
        <f t="shared" si="3"/>
        <v>2.6670180018381084</v>
      </c>
    </row>
    <row r="89" spans="1:5" x14ac:dyDescent="0.2">
      <c r="A89" s="14" t="s">
        <v>110</v>
      </c>
      <c r="B89" s="15" t="s">
        <v>111</v>
      </c>
      <c r="C89" s="15">
        <v>54</v>
      </c>
      <c r="D89" s="16"/>
      <c r="E89" s="17">
        <f t="shared" si="3"/>
        <v>40.853381752156146</v>
      </c>
    </row>
    <row r="90" spans="1:5" x14ac:dyDescent="0.2">
      <c r="A90" s="14" t="s">
        <v>57</v>
      </c>
      <c r="B90" s="15" t="s">
        <v>112</v>
      </c>
      <c r="C90" s="15">
        <v>5</v>
      </c>
      <c r="D90" s="16"/>
      <c r="E90" s="17">
        <f t="shared" si="3"/>
        <v>3.7827205326070508</v>
      </c>
    </row>
    <row r="91" spans="1:5" x14ac:dyDescent="0.2">
      <c r="A91" s="14" t="s">
        <v>57</v>
      </c>
      <c r="B91" s="15" t="s">
        <v>107</v>
      </c>
      <c r="C91" s="15"/>
      <c r="D91" s="16">
        <v>3000</v>
      </c>
      <c r="E91" s="17">
        <f t="shared" si="3"/>
        <v>2.6670180018381084</v>
      </c>
    </row>
    <row r="92" spans="1:5" x14ac:dyDescent="0.2">
      <c r="A92" s="14" t="s">
        <v>57</v>
      </c>
      <c r="B92" s="15" t="s">
        <v>113</v>
      </c>
      <c r="C92" s="15"/>
      <c r="D92" s="16">
        <v>2000</v>
      </c>
      <c r="E92" s="17">
        <f t="shared" si="3"/>
        <v>1.7780120012254057</v>
      </c>
    </row>
    <row r="93" spans="1:5" x14ac:dyDescent="0.2">
      <c r="A93" s="14" t="s">
        <v>57</v>
      </c>
      <c r="B93" s="15" t="s">
        <v>114</v>
      </c>
      <c r="C93" s="15">
        <v>5</v>
      </c>
      <c r="D93" s="16"/>
      <c r="E93" s="17">
        <f t="shared" si="3"/>
        <v>3.7827205326070508</v>
      </c>
    </row>
    <row r="94" spans="1:5" x14ac:dyDescent="0.2">
      <c r="A94" s="14" t="s">
        <v>23</v>
      </c>
      <c r="B94" s="15" t="s">
        <v>115</v>
      </c>
      <c r="C94" s="15">
        <v>6</v>
      </c>
      <c r="D94" s="16"/>
      <c r="E94" s="17">
        <f t="shared" si="3"/>
        <v>4.5392646391284606</v>
      </c>
    </row>
    <row r="95" spans="1:5" x14ac:dyDescent="0.2">
      <c r="A95" s="14" t="s">
        <v>13</v>
      </c>
      <c r="B95" s="15" t="s">
        <v>116</v>
      </c>
      <c r="C95" s="15">
        <v>5</v>
      </c>
      <c r="D95" s="16"/>
      <c r="E95" s="17">
        <f t="shared" si="3"/>
        <v>3.7827205326070508</v>
      </c>
    </row>
    <row r="96" spans="1:5" x14ac:dyDescent="0.2">
      <c r="A96" s="14"/>
      <c r="B96" s="15"/>
      <c r="C96" s="15"/>
      <c r="D96" s="16"/>
      <c r="E96" s="17"/>
    </row>
    <row r="97" spans="1:5" ht="13.5" thickBot="1" x14ac:dyDescent="0.25">
      <c r="A97" s="19"/>
      <c r="B97" s="20"/>
      <c r="C97" s="20"/>
      <c r="D97" s="21"/>
      <c r="E97" s="22"/>
    </row>
    <row r="98" spans="1:5" ht="14.25" thickTop="1" thickBot="1" x14ac:dyDescent="0.25">
      <c r="B98" s="50" t="s">
        <v>117</v>
      </c>
      <c r="C98" s="50"/>
      <c r="D98" s="55" t="s">
        <v>118</v>
      </c>
      <c r="E98" s="56">
        <f>SUM(E85:E97)</f>
        <v>73.593694742720757</v>
      </c>
    </row>
    <row r="99" spans="1:5" ht="14.25" thickTop="1" thickBot="1" x14ac:dyDescent="0.25"/>
    <row r="100" spans="1:5" ht="14.25" thickTop="1" thickBot="1" x14ac:dyDescent="0.25">
      <c r="A100" s="7" t="s">
        <v>45</v>
      </c>
      <c r="B100" s="8"/>
      <c r="C100" s="8" t="s">
        <v>10</v>
      </c>
      <c r="D100" s="8" t="s">
        <v>11</v>
      </c>
      <c r="E100" s="9" t="s">
        <v>12</v>
      </c>
    </row>
    <row r="101" spans="1:5" ht="13.5" thickTop="1" x14ac:dyDescent="0.2">
      <c r="A101" s="10" t="s">
        <v>119</v>
      </c>
      <c r="B101" s="11" t="s">
        <v>120</v>
      </c>
      <c r="C101" s="57">
        <f>738/30.35/2</f>
        <v>12.15815485996705</v>
      </c>
      <c r="D101" s="12"/>
      <c r="E101" s="58">
        <f t="shared" ref="E101:E114" si="4">C101/$B$7+D101/($B$6*$B$7)</f>
        <v>9.198180405482713</v>
      </c>
    </row>
    <row r="102" spans="1:5" x14ac:dyDescent="0.2">
      <c r="A102" s="14" t="s">
        <v>13</v>
      </c>
      <c r="B102" s="15" t="s">
        <v>121</v>
      </c>
      <c r="C102" s="15"/>
      <c r="D102" s="16">
        <f>(1500)/2</f>
        <v>750</v>
      </c>
      <c r="E102" s="17">
        <f t="shared" si="4"/>
        <v>0.66675450045952711</v>
      </c>
    </row>
    <row r="103" spans="1:5" x14ac:dyDescent="0.2">
      <c r="A103" s="14" t="s">
        <v>15</v>
      </c>
      <c r="B103" s="15" t="s">
        <v>122</v>
      </c>
      <c r="C103" s="15"/>
      <c r="D103" s="16">
        <v>450</v>
      </c>
      <c r="E103" s="17">
        <f t="shared" si="4"/>
        <v>0.40005270027571627</v>
      </c>
    </row>
    <row r="104" spans="1:5" x14ac:dyDescent="0.2">
      <c r="A104" s="14" t="s">
        <v>15</v>
      </c>
      <c r="B104" s="15" t="s">
        <v>121</v>
      </c>
      <c r="C104" s="15"/>
      <c r="D104" s="16">
        <v>1000</v>
      </c>
      <c r="E104" s="17">
        <f t="shared" si="4"/>
        <v>0.88900600061270285</v>
      </c>
    </row>
    <row r="105" spans="1:5" x14ac:dyDescent="0.2">
      <c r="A105" s="14" t="s">
        <v>17</v>
      </c>
      <c r="B105" s="59" t="s">
        <v>123</v>
      </c>
      <c r="C105" s="15"/>
      <c r="D105" s="16">
        <f>2600/2</f>
        <v>1300</v>
      </c>
      <c r="E105" s="17">
        <f t="shared" si="4"/>
        <v>1.1557078007965136</v>
      </c>
    </row>
    <row r="106" spans="1:5" x14ac:dyDescent="0.2">
      <c r="A106" s="14" t="s">
        <v>19</v>
      </c>
      <c r="B106" s="15" t="s">
        <v>124</v>
      </c>
      <c r="C106" s="15"/>
      <c r="D106" s="16">
        <f>1700/2</f>
        <v>850</v>
      </c>
      <c r="E106" s="17">
        <f t="shared" si="4"/>
        <v>0.75565510052079743</v>
      </c>
    </row>
    <row r="107" spans="1:5" x14ac:dyDescent="0.2">
      <c r="A107" s="14" t="s">
        <v>19</v>
      </c>
      <c r="B107" s="15" t="s">
        <v>125</v>
      </c>
      <c r="C107" s="15"/>
      <c r="D107" s="16">
        <v>100</v>
      </c>
      <c r="E107" s="17">
        <f t="shared" si="4"/>
        <v>8.8900600061270277E-2</v>
      </c>
    </row>
    <row r="108" spans="1:5" x14ac:dyDescent="0.2">
      <c r="A108" s="14" t="s">
        <v>55</v>
      </c>
      <c r="B108" s="15" t="s">
        <v>126</v>
      </c>
      <c r="C108" s="15"/>
      <c r="D108" s="16">
        <v>500</v>
      </c>
      <c r="E108" s="17">
        <f t="shared" si="4"/>
        <v>0.44450300030635143</v>
      </c>
    </row>
    <row r="109" spans="1:5" x14ac:dyDescent="0.2">
      <c r="A109" s="14" t="s">
        <v>57</v>
      </c>
      <c r="B109" s="15" t="s">
        <v>127</v>
      </c>
      <c r="C109" s="15"/>
      <c r="D109" s="16">
        <v>100</v>
      </c>
      <c r="E109" s="17">
        <f t="shared" si="4"/>
        <v>8.8900600061270277E-2</v>
      </c>
    </row>
    <row r="110" spans="1:5" x14ac:dyDescent="0.2">
      <c r="A110" s="14" t="s">
        <v>23</v>
      </c>
      <c r="B110" s="15" t="s">
        <v>128</v>
      </c>
      <c r="C110" s="15"/>
      <c r="D110" s="16">
        <v>600</v>
      </c>
      <c r="E110" s="17">
        <f t="shared" si="4"/>
        <v>0.53340360036762169</v>
      </c>
    </row>
    <row r="111" spans="1:5" x14ac:dyDescent="0.2">
      <c r="A111" s="14" t="s">
        <v>23</v>
      </c>
      <c r="B111" s="15" t="s">
        <v>125</v>
      </c>
      <c r="C111" s="15"/>
      <c r="D111" s="16">
        <f>250/2</f>
        <v>125</v>
      </c>
      <c r="E111" s="17">
        <f t="shared" si="4"/>
        <v>0.11112575007658786</v>
      </c>
    </row>
    <row r="112" spans="1:5" x14ac:dyDescent="0.2">
      <c r="A112" s="14" t="s">
        <v>115</v>
      </c>
      <c r="B112" s="15" t="s">
        <v>129</v>
      </c>
      <c r="C112" s="15"/>
      <c r="D112" s="16">
        <v>50</v>
      </c>
      <c r="E112" s="17">
        <f t="shared" si="4"/>
        <v>4.4450300030635138E-2</v>
      </c>
    </row>
    <row r="113" spans="1:5" x14ac:dyDescent="0.2">
      <c r="A113" s="14" t="s">
        <v>23</v>
      </c>
      <c r="B113" s="15" t="s">
        <v>122</v>
      </c>
      <c r="C113" s="15"/>
      <c r="D113" s="16">
        <v>350</v>
      </c>
      <c r="E113" s="18">
        <f t="shared" si="4"/>
        <v>0.311152100214446</v>
      </c>
    </row>
    <row r="114" spans="1:5" x14ac:dyDescent="0.2">
      <c r="A114" s="14" t="s">
        <v>13</v>
      </c>
      <c r="B114" s="15" t="s">
        <v>130</v>
      </c>
      <c r="C114" s="15">
        <f>(5+4+5)/2</f>
        <v>7</v>
      </c>
      <c r="D114" s="16">
        <f>(3000+500+1000)/2</f>
        <v>2250</v>
      </c>
      <c r="E114" s="18">
        <f t="shared" si="4"/>
        <v>7.2960722470284516</v>
      </c>
    </row>
    <row r="115" spans="1:5" x14ac:dyDescent="0.2">
      <c r="A115" s="14"/>
      <c r="B115" s="15"/>
      <c r="C115" s="15"/>
      <c r="D115" s="16"/>
      <c r="E115" s="18"/>
    </row>
    <row r="116" spans="1:5" ht="13.5" thickBot="1" x14ac:dyDescent="0.25">
      <c r="A116" s="19"/>
      <c r="B116" s="20"/>
      <c r="C116" s="20"/>
      <c r="D116" s="21"/>
      <c r="E116" s="22"/>
    </row>
    <row r="117" spans="1:5" ht="14.25" thickTop="1" thickBot="1" x14ac:dyDescent="0.25">
      <c r="B117" s="50" t="s">
        <v>131</v>
      </c>
      <c r="C117" s="50"/>
      <c r="D117" s="60" t="s">
        <v>132</v>
      </c>
      <c r="E117" s="61">
        <f>SUM(E101:E116)</f>
        <v>21.983864706294604</v>
      </c>
    </row>
    <row r="118" spans="1:5" ht="13.5" thickTop="1" x14ac:dyDescent="0.2"/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Birmanie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et Kevin</dc:creator>
  <cp:lastModifiedBy>Elise et Kevin</cp:lastModifiedBy>
  <dcterms:created xsi:type="dcterms:W3CDTF">2013-01-27T03:51:12Z</dcterms:created>
  <dcterms:modified xsi:type="dcterms:W3CDTF">2013-01-27T03:52:15Z</dcterms:modified>
</cp:coreProperties>
</file>