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Thailande" sheetId="1" r:id="rId1"/>
  </sheets>
  <calcPr calcId="145621"/>
</workbook>
</file>

<file path=xl/calcChain.xml><?xml version="1.0" encoding="utf-8"?>
<calcChain xmlns="http://schemas.openxmlformats.org/spreadsheetml/2006/main">
  <c r="D168" i="1" l="1"/>
  <c r="D167" i="1"/>
  <c r="C166" i="1"/>
  <c r="D166" i="1" s="1"/>
  <c r="C165" i="1"/>
  <c r="D165" i="1" s="1"/>
  <c r="C164" i="1"/>
  <c r="D164" i="1" s="1"/>
  <c r="C163" i="1"/>
  <c r="D163" i="1" s="1"/>
  <c r="C162" i="1"/>
  <c r="D162" i="1" s="1"/>
  <c r="D161" i="1"/>
  <c r="D160" i="1"/>
  <c r="C160" i="1"/>
  <c r="D159" i="1"/>
  <c r="D158" i="1"/>
  <c r="D157" i="1"/>
  <c r="C157" i="1"/>
  <c r="C156" i="1"/>
  <c r="D156" i="1" s="1"/>
  <c r="D155" i="1"/>
  <c r="C155" i="1"/>
  <c r="C154" i="1"/>
  <c r="D154" i="1" s="1"/>
  <c r="D153" i="1"/>
  <c r="C153" i="1"/>
  <c r="C152" i="1"/>
  <c r="D152" i="1" s="1"/>
  <c r="D151" i="1"/>
  <c r="C151" i="1"/>
  <c r="C150" i="1"/>
  <c r="D150" i="1" s="1"/>
  <c r="D149" i="1"/>
  <c r="C149" i="1"/>
  <c r="C148" i="1"/>
  <c r="D148" i="1" s="1"/>
  <c r="D169" i="1" s="1"/>
  <c r="H32" i="1" s="1"/>
  <c r="C142" i="1"/>
  <c r="D142" i="1" s="1"/>
  <c r="D141" i="1"/>
  <c r="D140" i="1"/>
  <c r="D139" i="1"/>
  <c r="D138" i="1"/>
  <c r="D137" i="1"/>
  <c r="D136" i="1"/>
  <c r="C136" i="1"/>
  <c r="D135" i="1"/>
  <c r="D134" i="1"/>
  <c r="D133" i="1"/>
  <c r="D145" i="1" s="1"/>
  <c r="H31" i="1" s="1"/>
  <c r="C133" i="1"/>
  <c r="D132" i="1"/>
  <c r="D125" i="1"/>
  <c r="D124" i="1"/>
  <c r="C123" i="1"/>
  <c r="D123" i="1" s="1"/>
  <c r="D122" i="1"/>
  <c r="C122" i="1"/>
  <c r="D121" i="1"/>
  <c r="D120" i="1"/>
  <c r="D119" i="1"/>
  <c r="C118" i="1"/>
  <c r="D118" i="1" s="1"/>
  <c r="D117" i="1"/>
  <c r="D116" i="1"/>
  <c r="D115" i="1"/>
  <c r="D114" i="1"/>
  <c r="D113" i="1"/>
  <c r="D112" i="1"/>
  <c r="D111" i="1"/>
  <c r="C110" i="1"/>
  <c r="D110" i="1" s="1"/>
  <c r="D109" i="1"/>
  <c r="C108" i="1"/>
  <c r="D108" i="1" s="1"/>
  <c r="C107" i="1"/>
  <c r="D107" i="1" s="1"/>
  <c r="C106" i="1"/>
  <c r="D106" i="1" s="1"/>
  <c r="D101" i="1"/>
  <c r="C100" i="1"/>
  <c r="D100" i="1" s="1"/>
  <c r="C99" i="1"/>
  <c r="D99" i="1" s="1"/>
  <c r="C98" i="1"/>
  <c r="D98" i="1" s="1"/>
  <c r="C97" i="1"/>
  <c r="D97" i="1" s="1"/>
  <c r="C96" i="1"/>
  <c r="D96" i="1" s="1"/>
  <c r="C95" i="1"/>
  <c r="D95" i="1" s="1"/>
  <c r="C94" i="1"/>
  <c r="D94" i="1" s="1"/>
  <c r="C93" i="1"/>
  <c r="D93" i="1" s="1"/>
  <c r="D92" i="1"/>
  <c r="C91" i="1"/>
  <c r="D91" i="1" s="1"/>
  <c r="D90" i="1"/>
  <c r="C90" i="1"/>
  <c r="D89" i="1"/>
  <c r="C88" i="1"/>
  <c r="D88" i="1" s="1"/>
  <c r="C87" i="1"/>
  <c r="D87" i="1" s="1"/>
  <c r="C86" i="1"/>
  <c r="D86" i="1" s="1"/>
  <c r="C85" i="1"/>
  <c r="D85" i="1" s="1"/>
  <c r="C84" i="1"/>
  <c r="D84" i="1" s="1"/>
  <c r="D83" i="1"/>
  <c r="C82" i="1"/>
  <c r="D82" i="1" s="1"/>
  <c r="D81" i="1"/>
  <c r="C81" i="1"/>
  <c r="D80" i="1"/>
  <c r="D79" i="1"/>
  <c r="D78" i="1"/>
  <c r="C78" i="1"/>
  <c r="C77" i="1"/>
  <c r="D77" i="1" s="1"/>
  <c r="D76" i="1"/>
  <c r="C76" i="1"/>
  <c r="C75" i="1"/>
  <c r="D75" i="1" s="1"/>
  <c r="D74" i="1"/>
  <c r="C74" i="1"/>
  <c r="C73" i="1"/>
  <c r="D73" i="1" s="1"/>
  <c r="D72" i="1"/>
  <c r="C72" i="1"/>
  <c r="C71" i="1"/>
  <c r="D71" i="1" s="1"/>
  <c r="D70" i="1"/>
  <c r="C69" i="1"/>
  <c r="D69" i="1" s="1"/>
  <c r="C68" i="1"/>
  <c r="D68" i="1" s="1"/>
  <c r="C67" i="1"/>
  <c r="D67" i="1" s="1"/>
  <c r="C66" i="1"/>
  <c r="D66" i="1" s="1"/>
  <c r="D65" i="1"/>
  <c r="C64" i="1"/>
  <c r="D64" i="1" s="1"/>
  <c r="D63" i="1"/>
  <c r="C63" i="1"/>
  <c r="C62" i="1"/>
  <c r="D62" i="1" s="1"/>
  <c r="D61" i="1"/>
  <c r="C61" i="1"/>
  <c r="C60" i="1"/>
  <c r="D60" i="1" s="1"/>
  <c r="D59" i="1"/>
  <c r="C59" i="1"/>
  <c r="C58" i="1"/>
  <c r="D58" i="1" s="1"/>
  <c r="D57" i="1"/>
  <c r="C57" i="1"/>
  <c r="C56" i="1"/>
  <c r="D56" i="1" s="1"/>
  <c r="D55" i="1"/>
  <c r="C54" i="1"/>
  <c r="D54" i="1" s="1"/>
  <c r="C53" i="1"/>
  <c r="D53" i="1" s="1"/>
  <c r="C52" i="1"/>
  <c r="D52" i="1" s="1"/>
  <c r="C51" i="1"/>
  <c r="D51" i="1" s="1"/>
  <c r="D50" i="1"/>
  <c r="C49" i="1"/>
  <c r="D49" i="1" s="1"/>
  <c r="C48" i="1"/>
  <c r="D48" i="1" s="1"/>
  <c r="H47" i="1"/>
  <c r="D47" i="1"/>
  <c r="C47" i="1"/>
  <c r="C46" i="1"/>
  <c r="D46" i="1" s="1"/>
  <c r="D45" i="1"/>
  <c r="C45" i="1"/>
  <c r="C44" i="1"/>
  <c r="D44" i="1" s="1"/>
  <c r="C43" i="1"/>
  <c r="D43" i="1" s="1"/>
  <c r="C42" i="1"/>
  <c r="D42" i="1" s="1"/>
  <c r="C41" i="1"/>
  <c r="D41" i="1" s="1"/>
  <c r="D40" i="1"/>
  <c r="C40" i="1"/>
  <c r="H39" i="1"/>
  <c r="C39" i="1"/>
  <c r="D39" i="1" s="1"/>
  <c r="C38" i="1"/>
  <c r="D38" i="1" s="1"/>
  <c r="C37" i="1"/>
  <c r="D37" i="1" s="1"/>
  <c r="C36" i="1"/>
  <c r="D36" i="1" s="1"/>
  <c r="D35" i="1"/>
  <c r="C35" i="1"/>
  <c r="C34" i="1"/>
  <c r="D34" i="1" s="1"/>
  <c r="D33" i="1"/>
  <c r="C33" i="1"/>
  <c r="C32" i="1"/>
  <c r="D32" i="1" s="1"/>
  <c r="C31" i="1"/>
  <c r="D31" i="1" s="1"/>
  <c r="C30" i="1"/>
  <c r="D30" i="1" s="1"/>
  <c r="D29" i="1"/>
  <c r="C28" i="1"/>
  <c r="D28" i="1" s="1"/>
  <c r="C27" i="1"/>
  <c r="D27" i="1" s="1"/>
  <c r="C26" i="1"/>
  <c r="D26" i="1" s="1"/>
  <c r="C25" i="1"/>
  <c r="D25" i="1" s="1"/>
  <c r="C24" i="1"/>
  <c r="D24" i="1" s="1"/>
  <c r="C23" i="1"/>
  <c r="D23" i="1" s="1"/>
  <c r="D17" i="1"/>
  <c r="D16" i="1"/>
  <c r="C15" i="1"/>
  <c r="D15" i="1" s="1"/>
  <c r="D14" i="1"/>
  <c r="D13" i="1"/>
  <c r="D12" i="1"/>
  <c r="D11" i="1"/>
  <c r="D10" i="1"/>
  <c r="D20" i="1" s="1"/>
  <c r="A1" i="1"/>
  <c r="D129" i="1" l="1"/>
  <c r="H30" i="1" s="1"/>
  <c r="H27" i="1"/>
  <c r="H36" i="1" s="1"/>
  <c r="H28" i="1"/>
  <c r="D103" i="1"/>
  <c r="H29" i="1" s="1"/>
  <c r="H44" i="1" l="1"/>
  <c r="H48" i="1" s="1"/>
  <c r="H40" i="1"/>
</calcChain>
</file>

<file path=xl/sharedStrings.xml><?xml version="1.0" encoding="utf-8"?>
<sst xmlns="http://schemas.openxmlformats.org/spreadsheetml/2006/main" count="329" uniqueCount="169">
  <si>
    <t>PAYS:</t>
  </si>
  <si>
    <t>Thailande</t>
  </si>
  <si>
    <t>Nb jours:</t>
  </si>
  <si>
    <t>Monnaie:</t>
  </si>
  <si>
    <t>Baht</t>
  </si>
  <si>
    <t>Taux de change (1€=):</t>
  </si>
  <si>
    <t>Ville</t>
  </si>
  <si>
    <t>Hotel</t>
  </si>
  <si>
    <t>Prix/pers (devise)</t>
  </si>
  <si>
    <t>Prix/pers (€)</t>
  </si>
  <si>
    <t>Bangkok</t>
  </si>
  <si>
    <t>River View Guest House (3 nuits)</t>
  </si>
  <si>
    <t>Koh Lanta</t>
  </si>
  <si>
    <t>Chillout Home (11 nuits)</t>
  </si>
  <si>
    <t>River View Guest House (1 nuit)</t>
  </si>
  <si>
    <t>Ayutthaya</t>
  </si>
  <si>
    <t>Tony's place (1 nuit)</t>
  </si>
  <si>
    <t>New Siam Hotel (1 nuit)</t>
  </si>
  <si>
    <t>Chiang Mai</t>
  </si>
  <si>
    <t>Nocky Guesthouse (4 nuits)</t>
  </si>
  <si>
    <t>Nocky Guesthouse (2 nuits)</t>
  </si>
  <si>
    <t>Logement</t>
  </si>
  <si>
    <t>TOTAL Hotels</t>
  </si>
  <si>
    <t>Restaurant</t>
  </si>
  <si>
    <t>River Vibe restaurant (midi)</t>
  </si>
  <si>
    <t>River Vibe restaurant (soir)</t>
  </si>
  <si>
    <t>Achats provisions (petit dej + eau)</t>
  </si>
  <si>
    <t>Street food (midi)</t>
  </si>
  <si>
    <t>Coût par jour / personne (€):</t>
  </si>
  <si>
    <t>Total:</t>
  </si>
  <si>
    <t>Petit dej + eau + en-cas</t>
  </si>
  <si>
    <t>Logements:</t>
  </si>
  <si>
    <t>Gargote (midi)</t>
  </si>
  <si>
    <t>Repas:</t>
  </si>
  <si>
    <t>MBK (soir)</t>
  </si>
  <si>
    <t>Transports:</t>
  </si>
  <si>
    <t>Seven Eleven (Petit dej)</t>
  </si>
  <si>
    <t>Excursions:</t>
  </si>
  <si>
    <t>Repas quartier chinois (midi)</t>
  </si>
  <si>
    <t>Autres:</t>
  </si>
  <si>
    <t>Repas gargote Kao San (soir)</t>
  </si>
  <si>
    <t>Seven Eleven (petit dej bus)</t>
  </si>
  <si>
    <t>VISA</t>
  </si>
  <si>
    <t>Mini market (midi + eau)</t>
  </si>
  <si>
    <t>Mini market (achat petit dej)</t>
  </si>
  <si>
    <t>Repas soir</t>
  </si>
  <si>
    <t>Ocean Diver Restaurant (midi)</t>
  </si>
  <si>
    <t>Prévisionnel</t>
  </si>
  <si>
    <t>Mini market (soir)</t>
  </si>
  <si>
    <t>Food Boat</t>
  </si>
  <si>
    <t>Diner chez Mr Wee (soir)</t>
  </si>
  <si>
    <t>Mini market (provisions eau)</t>
  </si>
  <si>
    <t>Extra (plongée)</t>
  </si>
  <si>
    <t>Déjeuner Funky Fish (midi)</t>
  </si>
  <si>
    <t>Mini market (diner soir)</t>
  </si>
  <si>
    <t>Old town (midi)</t>
  </si>
  <si>
    <t>Provisions (fruits)</t>
  </si>
  <si>
    <t>Ocean Diver Restaurant (boissons)</t>
  </si>
  <si>
    <t>Funky Fish (soir)</t>
  </si>
  <si>
    <t>Provisions petit dej</t>
  </si>
  <si>
    <t>Provisions réveillon noël</t>
  </si>
  <si>
    <t>Funky Fish (midi) - repas de noël</t>
  </si>
  <si>
    <t>Funky Fish (boissons)</t>
  </si>
  <si>
    <t>Provisions soirée Nick</t>
  </si>
  <si>
    <t>Eau + biscuits</t>
  </si>
  <si>
    <t>Provisions (petit dej + midi)</t>
  </si>
  <si>
    <t>Krabi</t>
  </si>
  <si>
    <t>Repas (nouilles + glaces + eau)</t>
  </si>
  <si>
    <t>Midi gargote quartier chinois</t>
  </si>
  <si>
    <t>Provisions Petit dej + eau</t>
  </si>
  <si>
    <t>7 Eleen - Eau</t>
  </si>
  <si>
    <t>Gargote de rue</t>
  </si>
  <si>
    <t>Achat eau + bière</t>
  </si>
  <si>
    <t>Marché de nuit (soir)</t>
  </si>
  <si>
    <t>Tony's place (petit dej - buffet)</t>
  </si>
  <si>
    <t>Shakes + eau</t>
  </si>
  <si>
    <t>Gargote rue (soir)</t>
  </si>
  <si>
    <t>Provisions Petit dej</t>
  </si>
  <si>
    <t>Gargote Midi + eau</t>
  </si>
  <si>
    <t>Gargote Soir + eau</t>
  </si>
  <si>
    <t>Mc Donalds (midi)</t>
  </si>
  <si>
    <t>Train -&gt; Chiang Mai</t>
  </si>
  <si>
    <t>Provisions + soir</t>
  </si>
  <si>
    <t>Petit dej</t>
  </si>
  <si>
    <t>Gargote midi (kévin)</t>
  </si>
  <si>
    <t>Courses petit dej + eau</t>
  </si>
  <si>
    <t>Gargote soir (Kevin)</t>
  </si>
  <si>
    <t>Eau</t>
  </si>
  <si>
    <t>Gargote midi + fruits</t>
  </si>
  <si>
    <t>Blue Diamond (soir)</t>
  </si>
  <si>
    <t>Gargote (petit dej)</t>
  </si>
  <si>
    <t>Gargote (soir)</t>
  </si>
  <si>
    <t>Petit-dej</t>
  </si>
  <si>
    <t>Mexican Restaurant (midi)</t>
  </si>
  <si>
    <t>Jus + Eau</t>
  </si>
  <si>
    <t>Sangob</t>
  </si>
  <si>
    <t>Bières + pain</t>
  </si>
  <si>
    <t>Courses petit dej + fruits</t>
  </si>
  <si>
    <t>Gargote + jus (soir)</t>
  </si>
  <si>
    <t>Courses pour Lunch route -&gt; Chiang Rai</t>
  </si>
  <si>
    <t>Marché du dimanche (soir)</t>
  </si>
  <si>
    <t>Petit dej + Fruits</t>
  </si>
  <si>
    <t>Chiang Khong</t>
  </si>
  <si>
    <t>Repas</t>
  </si>
  <si>
    <t>TOTAL Repas</t>
  </si>
  <si>
    <t>Type</t>
  </si>
  <si>
    <t>Trajet</t>
  </si>
  <si>
    <t>Métro</t>
  </si>
  <si>
    <t>Airport Link Bangkok</t>
  </si>
  <si>
    <t>Métro (Airport Link -&gt; RVGH) Bangkok</t>
  </si>
  <si>
    <t>Boat</t>
  </si>
  <si>
    <t>Long Boat (Bangkok)</t>
  </si>
  <si>
    <t>Auto-rickshaw</t>
  </si>
  <si>
    <t>Balade dans Bangkok</t>
  </si>
  <si>
    <t>Bus</t>
  </si>
  <si>
    <t>Bus Bangkok</t>
  </si>
  <si>
    <t>Bus Bangkok -&gt; Ko Lanta</t>
  </si>
  <si>
    <t>Bus Ko Lanta - Bangkok</t>
  </si>
  <si>
    <t>Touk touk</t>
  </si>
  <si>
    <t>Hôtel -&gt; Nick (Koh Lanta)</t>
  </si>
  <si>
    <t>Train</t>
  </si>
  <si>
    <t>Bangkok -&gt; Autthaya</t>
  </si>
  <si>
    <t>Bateau</t>
  </si>
  <si>
    <t>3 traversées bateau à Ayutthaya</t>
  </si>
  <si>
    <t>Ayutthaya -&gt; Bangkok</t>
  </si>
  <si>
    <t>Bangkok vers MBK</t>
  </si>
  <si>
    <t>Taxis</t>
  </si>
  <si>
    <t>Bangkok -&gt; Don Mueng Airport</t>
  </si>
  <si>
    <t>Don Mueng Airport -&gt; Chiang Mai</t>
  </si>
  <si>
    <t>Truck</t>
  </si>
  <si>
    <t>Chiang Mai -&gt; Sangob</t>
  </si>
  <si>
    <t>Sangob -&gt; Chiang Mai</t>
  </si>
  <si>
    <t>Transports</t>
  </si>
  <si>
    <t>TOTAL Transports</t>
  </si>
  <si>
    <t>Excursion</t>
  </si>
  <si>
    <t>Palais et Wat</t>
  </si>
  <si>
    <t>Location scooter + essence</t>
  </si>
  <si>
    <t>Kayak Mangrove</t>
  </si>
  <si>
    <t>Four Islands</t>
  </si>
  <si>
    <t>Visites Wat</t>
  </si>
  <si>
    <t>Location vélos</t>
  </si>
  <si>
    <t>Wat Pho</t>
  </si>
  <si>
    <t>Thai Massage</t>
  </si>
  <si>
    <t>Cours Cuisine Full Day</t>
  </si>
  <si>
    <t>5 jours chez Sangob</t>
  </si>
  <si>
    <t>Chiang Mai -&gt; Chiang Rai</t>
  </si>
  <si>
    <t>Trajet 3 jours -&gt; Luang Prabang</t>
  </si>
  <si>
    <t>Excursions</t>
  </si>
  <si>
    <t>TOTAL Excursions</t>
  </si>
  <si>
    <t>Frais de retrait ATM</t>
  </si>
  <si>
    <t>Achat kit nettoyage AP</t>
  </si>
  <si>
    <t>Achat souvenirs</t>
  </si>
  <si>
    <t>Poste - envoi colis</t>
  </si>
  <si>
    <t>Baume du tigre</t>
  </si>
  <si>
    <t>Médecin (otite Elise)</t>
  </si>
  <si>
    <t>Achats hygiène</t>
  </si>
  <si>
    <t>Laundry</t>
  </si>
  <si>
    <t>Achat colle</t>
  </si>
  <si>
    <t>Recharge carte SIM</t>
  </si>
  <si>
    <t>Accès Internet New Siam Guesthouse</t>
  </si>
  <si>
    <t>Route -&gt; Chiang Mai</t>
  </si>
  <si>
    <t>Toilettes</t>
  </si>
  <si>
    <t>Achat enveloppe + timbres</t>
  </si>
  <si>
    <t>Cartes postales</t>
  </si>
  <si>
    <t>Chiang Krong</t>
  </si>
  <si>
    <t>Visa Laos</t>
  </si>
  <si>
    <t>Autres</t>
  </si>
  <si>
    <t>TOTAL Autres</t>
  </si>
  <si>
    <t>Arrivée le 11 Décembre et départ le 31 décembre (jour pris pour moitié) + arrivée le 16 janvier (jour pris pour moitié) et départ le 28 Janvier (inclus)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</si>
</sst>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theme="2" tint="-0.749992370372631"/>
      <name val="Arial"/>
      <family val="2"/>
    </font>
    <font>
      <sz val="10"/>
      <color theme="2" tint="-0.749992370372631"/>
      <name val="Arial"/>
      <family val="2"/>
    </font>
    <font>
      <sz val="10"/>
      <color theme="0"/>
      <name val="Arial"/>
      <family val="2"/>
    </font>
    <font>
      <sz val="10"/>
      <color indexed="9"/>
      <name val="Arial"/>
      <family val="2"/>
    </font>
    <font>
      <b/>
      <sz val="10"/>
      <color rgb="FFF5F2E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B5DEE7"/>
        <bgColor indexed="64"/>
      </patternFill>
    </fill>
    <fill>
      <patternFill patternType="solid">
        <fgColor rgb="FFF5F2E3"/>
        <bgColor indexed="64"/>
      </patternFill>
    </fill>
    <fill>
      <patternFill patternType="solid">
        <fgColor rgb="FFD6D6AD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ck">
        <color rgb="FFD6D6AD"/>
      </left>
      <right/>
      <top style="thick">
        <color rgb="FFD6D6AD"/>
      </top>
      <bottom style="thick">
        <color rgb="FFD6D6AD"/>
      </bottom>
      <diagonal/>
    </border>
    <border>
      <left/>
      <right/>
      <top style="thick">
        <color rgb="FFD6D6AD"/>
      </top>
      <bottom style="thick">
        <color rgb="FFD6D6AD"/>
      </bottom>
      <diagonal/>
    </border>
    <border>
      <left/>
      <right style="thick">
        <color rgb="FFD6D6AD"/>
      </right>
      <top style="thick">
        <color rgb="FFD6D6AD"/>
      </top>
      <bottom style="thick">
        <color rgb="FFD6D6AD"/>
      </bottom>
      <diagonal/>
    </border>
    <border>
      <left style="thick">
        <color rgb="FFD6D6AD"/>
      </left>
      <right/>
      <top style="thick">
        <color rgb="FFD6D6AD"/>
      </top>
      <bottom/>
      <diagonal/>
    </border>
    <border>
      <left/>
      <right/>
      <top style="thick">
        <color rgb="FFD6D6AD"/>
      </top>
      <bottom/>
      <diagonal/>
    </border>
    <border>
      <left/>
      <right style="thick">
        <color rgb="FFD6D6AD"/>
      </right>
      <top style="thick">
        <color rgb="FFD6D6AD"/>
      </top>
      <bottom/>
      <diagonal/>
    </border>
    <border>
      <left style="thick">
        <color rgb="FFD6D6AD"/>
      </left>
      <right/>
      <top/>
      <bottom/>
      <diagonal/>
    </border>
    <border>
      <left/>
      <right style="thick">
        <color rgb="FFD6D6AD"/>
      </right>
      <top/>
      <bottom/>
      <diagonal/>
    </border>
    <border>
      <left style="thick">
        <color rgb="FFD6D6AD"/>
      </left>
      <right/>
      <top/>
      <bottom style="thick">
        <color rgb="FFD6D6AD"/>
      </bottom>
      <diagonal/>
    </border>
    <border>
      <left/>
      <right/>
      <top/>
      <bottom style="thick">
        <color rgb="FFD6D6AD"/>
      </bottom>
      <diagonal/>
    </border>
    <border>
      <left/>
      <right style="thick">
        <color rgb="FFD6D6AD"/>
      </right>
      <top/>
      <bottom style="thick">
        <color rgb="FFD6D6AD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/>
      <diagonal/>
    </border>
    <border>
      <left/>
      <right/>
      <top style="medium">
        <color theme="2" tint="-0.499984740745262"/>
      </top>
      <bottom/>
      <diagonal/>
    </border>
    <border>
      <left/>
      <right style="medium">
        <color theme="2" tint="-0.499984740745262"/>
      </right>
      <top style="medium">
        <color theme="2" tint="-0.499984740745262"/>
      </top>
      <bottom/>
      <diagonal/>
    </border>
    <border>
      <left style="medium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theme="2" tint="-0.499984740745262"/>
      </right>
      <top/>
      <bottom style="dotted">
        <color indexed="64"/>
      </bottom>
      <diagonal/>
    </border>
    <border>
      <left style="medium">
        <color theme="2" tint="-0.499984740745262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theme="2" tint="-0.499984740745262"/>
      </right>
      <top style="dotted">
        <color indexed="64"/>
      </top>
      <bottom style="dotted">
        <color indexed="64"/>
      </bottom>
      <diagonal/>
    </border>
    <border>
      <left style="medium">
        <color theme="2" tint="-0.499984740745262"/>
      </left>
      <right/>
      <top style="dotted">
        <color indexed="64"/>
      </top>
      <bottom style="medium">
        <color theme="2" tint="-0.499984740745262"/>
      </bottom>
      <diagonal/>
    </border>
    <border>
      <left/>
      <right/>
      <top style="dotted">
        <color indexed="64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dotted">
        <color indexed="64"/>
      </top>
      <bottom style="medium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left"/>
    </xf>
    <xf numFmtId="4" fontId="0" fillId="2" borderId="0" xfId="0" applyNumberFormat="1" applyFill="1" applyAlignment="1">
      <alignment horizontal="left"/>
    </xf>
    <xf numFmtId="0" fontId="3" fillId="5" borderId="1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4" fillId="4" borderId="4" xfId="0" applyFont="1" applyFill="1" applyBorder="1"/>
    <xf numFmtId="0" fontId="4" fillId="4" borderId="5" xfId="0" applyFont="1" applyFill="1" applyBorder="1" applyAlignment="1">
      <alignment horizontal="center"/>
    </xf>
    <xf numFmtId="0" fontId="4" fillId="4" borderId="5" xfId="0" applyFont="1" applyFill="1" applyBorder="1"/>
    <xf numFmtId="4" fontId="4" fillId="4" borderId="6" xfId="0" applyNumberFormat="1" applyFont="1" applyFill="1" applyBorder="1" applyAlignment="1">
      <alignment horizontal="center"/>
    </xf>
    <xf numFmtId="0" fontId="4" fillId="4" borderId="7" xfId="0" applyFont="1" applyFill="1" applyBorder="1"/>
    <xf numFmtId="0" fontId="4" fillId="4" borderId="0" xfId="0" applyFont="1" applyFill="1" applyBorder="1" applyAlignment="1">
      <alignment horizontal="center"/>
    </xf>
    <xf numFmtId="0" fontId="4" fillId="4" borderId="0" xfId="0" applyFont="1" applyFill="1" applyBorder="1"/>
    <xf numFmtId="4" fontId="4" fillId="4" borderId="8" xfId="0" applyNumberFormat="1" applyFont="1" applyFill="1" applyBorder="1" applyAlignment="1">
      <alignment horizontal="center"/>
    </xf>
    <xf numFmtId="0" fontId="4" fillId="4" borderId="9" xfId="0" applyFont="1" applyFill="1" applyBorder="1"/>
    <xf numFmtId="0" fontId="4" fillId="4" borderId="10" xfId="0" applyFont="1" applyFill="1" applyBorder="1" applyAlignment="1">
      <alignment horizontal="center"/>
    </xf>
    <xf numFmtId="0" fontId="4" fillId="4" borderId="10" xfId="0" applyFont="1" applyFill="1" applyBorder="1"/>
    <xf numFmtId="4" fontId="4" fillId="4" borderId="11" xfId="0" applyNumberFormat="1" applyFont="1" applyFill="1" applyBorder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right"/>
    </xf>
    <xf numFmtId="0" fontId="3" fillId="3" borderId="1" xfId="0" applyFont="1" applyFill="1" applyBorder="1"/>
    <xf numFmtId="4" fontId="3" fillId="3" borderId="3" xfId="0" applyNumberFormat="1" applyFont="1" applyFill="1" applyBorder="1" applyAlignment="1">
      <alignment horizontal="center"/>
    </xf>
    <xf numFmtId="0" fontId="3" fillId="3" borderId="12" xfId="0" applyFont="1" applyFill="1" applyBorder="1"/>
    <xf numFmtId="0" fontId="4" fillId="3" borderId="13" xfId="0" applyFont="1" applyFill="1" applyBorder="1"/>
    <xf numFmtId="0" fontId="4" fillId="3" borderId="14" xfId="0" applyFont="1" applyFill="1" applyBorder="1"/>
    <xf numFmtId="0" fontId="4" fillId="5" borderId="15" xfId="0" applyFont="1" applyFill="1" applyBorder="1"/>
    <xf numFmtId="0" fontId="3" fillId="5" borderId="16" xfId="0" applyFont="1" applyFill="1" applyBorder="1"/>
    <xf numFmtId="2" fontId="3" fillId="5" borderId="17" xfId="0" applyNumberFormat="1" applyFont="1" applyFill="1" applyBorder="1" applyAlignment="1">
      <alignment horizontal="center"/>
    </xf>
    <xf numFmtId="0" fontId="4" fillId="4" borderId="18" xfId="0" applyFont="1" applyFill="1" applyBorder="1"/>
    <xf numFmtId="0" fontId="4" fillId="4" borderId="19" xfId="0" applyFont="1" applyFill="1" applyBorder="1" applyAlignment="1">
      <alignment horizontal="right"/>
    </xf>
    <xf numFmtId="2" fontId="4" fillId="4" borderId="20" xfId="0" applyNumberFormat="1" applyFont="1" applyFill="1" applyBorder="1" applyAlignment="1">
      <alignment horizontal="left"/>
    </xf>
    <xf numFmtId="0" fontId="4" fillId="4" borderId="21" xfId="0" applyFont="1" applyFill="1" applyBorder="1"/>
    <xf numFmtId="0" fontId="4" fillId="4" borderId="22" xfId="0" applyFont="1" applyFill="1" applyBorder="1" applyAlignment="1">
      <alignment horizontal="right"/>
    </xf>
    <xf numFmtId="2" fontId="4" fillId="4" borderId="23" xfId="0" applyNumberFormat="1" applyFont="1" applyFill="1" applyBorder="1" applyAlignment="1">
      <alignment horizontal="left"/>
    </xf>
    <xf numFmtId="0" fontId="4" fillId="4" borderId="22" xfId="0" applyFont="1" applyFill="1" applyBorder="1"/>
    <xf numFmtId="0" fontId="4" fillId="4" borderId="24" xfId="0" applyFont="1" applyFill="1" applyBorder="1"/>
    <xf numFmtId="0" fontId="4" fillId="4" borderId="25" xfId="0" applyFont="1" applyFill="1" applyBorder="1" applyAlignment="1">
      <alignment horizontal="right"/>
    </xf>
    <xf numFmtId="2" fontId="4" fillId="4" borderId="26" xfId="0" applyNumberFormat="1" applyFont="1" applyFill="1" applyBorder="1" applyAlignment="1">
      <alignment horizontal="left"/>
    </xf>
    <xf numFmtId="2" fontId="3" fillId="5" borderId="27" xfId="0" applyNumberFormat="1" applyFont="1" applyFill="1" applyBorder="1" applyAlignment="1">
      <alignment horizontal="center"/>
    </xf>
    <xf numFmtId="2" fontId="0" fillId="2" borderId="0" xfId="0" applyNumberFormat="1" applyFill="1"/>
    <xf numFmtId="0" fontId="6" fillId="2" borderId="0" xfId="0" applyFont="1" applyFill="1" applyAlignment="1">
      <alignment horizontal="right"/>
    </xf>
    <xf numFmtId="0" fontId="7" fillId="6" borderId="1" xfId="0" applyFont="1" applyFill="1" applyBorder="1"/>
    <xf numFmtId="164" fontId="7" fillId="6" borderId="3" xfId="0" applyNumberFormat="1" applyFont="1" applyFill="1" applyBorder="1" applyAlignment="1">
      <alignment horizontal="center"/>
    </xf>
    <xf numFmtId="0" fontId="3" fillId="4" borderId="1" xfId="0" applyFont="1" applyFill="1" applyBorder="1"/>
    <xf numFmtId="4" fontId="3" fillId="4" borderId="3" xfId="0" applyNumberFormat="1" applyFont="1" applyFill="1" applyBorder="1" applyAlignment="1">
      <alignment horizontal="center"/>
    </xf>
    <xf numFmtId="3" fontId="4" fillId="4" borderId="0" xfId="0" applyNumberFormat="1" applyFont="1" applyFill="1" applyBorder="1"/>
    <xf numFmtId="0" fontId="3" fillId="5" borderId="1" xfId="0" applyFont="1" applyFill="1" applyBorder="1"/>
    <xf numFmtId="4" fontId="3" fillId="5" borderId="3" xfId="0" applyNumberFormat="1" applyFont="1" applyFill="1" applyBorder="1" applyAlignment="1">
      <alignment horizontal="center"/>
    </xf>
    <xf numFmtId="0" fontId="7" fillId="7" borderId="1" xfId="0" applyFont="1" applyFill="1" applyBorder="1"/>
    <xf numFmtId="4" fontId="7" fillId="7" borderId="3" xfId="0" applyNumberFormat="1" applyFont="1" applyFill="1" applyBorder="1" applyAlignment="1">
      <alignment horizontal="center"/>
    </xf>
    <xf numFmtId="0" fontId="0" fillId="8" borderId="0" xfId="0" applyFill="1"/>
    <xf numFmtId="0" fontId="0" fillId="8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Thailande!$A$1</c:f>
          <c:strCache>
            <c:ptCount val="1"/>
            <c:pt idx="0">
              <c:v>BUDGET Thailande</c:v>
            </c:pt>
          </c:strCache>
        </c:strRef>
      </c:tx>
      <c:layout/>
      <c:overlay val="0"/>
      <c:txPr>
        <a:bodyPr/>
        <a:lstStyle/>
        <a:p>
          <a:pPr>
            <a:defRPr b="1" baseline="0">
              <a:solidFill>
                <a:schemeClr val="bg2">
                  <a:lumMod val="25000"/>
                </a:schemeClr>
              </a:solidFill>
            </a:defRPr>
          </a:pPr>
          <a:endParaRPr lang="fr-FR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B5DEE7"/>
              </a:solidFill>
            </c:spPr>
          </c:dPt>
          <c:dPt>
            <c:idx val="1"/>
            <c:bubble3D val="0"/>
            <c:spPr>
              <a:solidFill>
                <a:srgbClr val="993366"/>
              </a:solidFill>
            </c:spPr>
          </c:dPt>
          <c:dPt>
            <c:idx val="2"/>
            <c:bubble3D val="0"/>
            <c:spPr>
              <a:solidFill>
                <a:srgbClr val="F5F2E3"/>
              </a:solidFill>
            </c:spPr>
          </c:dPt>
          <c:dPt>
            <c:idx val="3"/>
            <c:bubble3D val="0"/>
            <c:spPr>
              <a:solidFill>
                <a:srgbClr val="D6D6AD"/>
              </a:solidFill>
            </c:spPr>
          </c:dPt>
          <c:dPt>
            <c:idx val="4"/>
            <c:bubble3D val="0"/>
            <c:spPr>
              <a:solidFill>
                <a:srgbClr val="660066"/>
              </a:solidFill>
            </c:spPr>
          </c:dPt>
          <c:dLbls>
            <c:dLbl>
              <c:idx val="1"/>
              <c:layout>
                <c:manualLayout>
                  <c:x val="2.6303250555219058E-3"/>
                  <c:y val="3.073258952171614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9.7206945285685464E-2"/>
                  <c:y val="-6.363169268152435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effectLst/>
            </c:spPr>
            <c:txPr>
              <a:bodyPr/>
              <a:lstStyle/>
              <a:p>
                <a:pPr>
                  <a:defRPr b="1" baseline="0">
                    <a:solidFill>
                      <a:schemeClr val="bg2">
                        <a:lumMod val="25000"/>
                      </a:schemeClr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(Thailande!$B$20,Thailande!$B$103,Thailande!$B$129,Thailande!$B$145,Thailande!$B$169)</c:f>
              <c:strCache>
                <c:ptCount val="5"/>
                <c:pt idx="0">
                  <c:v>Logement</c:v>
                </c:pt>
                <c:pt idx="1">
                  <c:v>Repas</c:v>
                </c:pt>
                <c:pt idx="2">
                  <c:v>Transports</c:v>
                </c:pt>
                <c:pt idx="3">
                  <c:v>Excursions</c:v>
                </c:pt>
                <c:pt idx="4">
                  <c:v>Autres</c:v>
                </c:pt>
              </c:strCache>
            </c:strRef>
          </c:cat>
          <c:val>
            <c:numRef>
              <c:f>(Thailande!$D$20,Thailande!$D$103,Thailande!$D$129,Thailande!$D$145,Thailande!$D$169)</c:f>
              <c:numCache>
                <c:formatCode>0.0</c:formatCode>
                <c:ptCount val="5"/>
                <c:pt idx="0" formatCode="#,##0.00">
                  <c:v>90.767106007067142</c:v>
                </c:pt>
                <c:pt idx="1">
                  <c:v>162.34452261484097</c:v>
                </c:pt>
                <c:pt idx="2" formatCode="#,##0.00">
                  <c:v>59.229594346289737</c:v>
                </c:pt>
                <c:pt idx="3" formatCode="#,##0.00">
                  <c:v>138.79335100117785</c:v>
                </c:pt>
                <c:pt idx="4" formatCode="#,##0.00">
                  <c:v>73.724863957597179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5F2E3"/>
    </a:solidFill>
    <a:ln w="3175">
      <a:solidFill>
        <a:schemeClr val="bg2">
          <a:lumMod val="50000"/>
        </a:schemeClr>
      </a:solidFill>
      <a:prstDash val="solid"/>
    </a:ln>
    <a:effectLst>
      <a:softEdge rad="12700"/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</xdr:row>
      <xdr:rowOff>142875</xdr:rowOff>
    </xdr:from>
    <xdr:to>
      <xdr:col>11</xdr:col>
      <xdr:colOff>381000</xdr:colOff>
      <xdr:row>23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0"/>
  <sheetViews>
    <sheetView tabSelected="1" workbookViewId="0"/>
  </sheetViews>
  <sheetFormatPr baseColWidth="10" defaultRowHeight="12.75" x14ac:dyDescent="0.2"/>
  <cols>
    <col min="1" max="1" width="22" style="2" customWidth="1"/>
    <col min="2" max="2" width="33" style="2" customWidth="1"/>
    <col min="3" max="3" width="16.85546875" style="2" bestFit="1" customWidth="1"/>
    <col min="4" max="4" width="15.140625" style="4" customWidth="1"/>
    <col min="5" max="5" width="14.42578125" style="2" customWidth="1"/>
    <col min="6" max="16384" width="11.42578125" style="2"/>
  </cols>
  <sheetData>
    <row r="1" spans="1:5" x14ac:dyDescent="0.2">
      <c r="A1" s="1" t="str">
        <f>"BUDGET "&amp;B3</f>
        <v>BUDGET Thailande</v>
      </c>
      <c r="C1" s="55"/>
      <c r="D1" s="56"/>
      <c r="E1" s="55"/>
    </row>
    <row r="2" spans="1:5" x14ac:dyDescent="0.2">
      <c r="C2" s="3"/>
    </row>
    <row r="3" spans="1:5" x14ac:dyDescent="0.2">
      <c r="A3" s="1" t="s">
        <v>0</v>
      </c>
      <c r="B3" s="5" t="s">
        <v>1</v>
      </c>
    </row>
    <row r="4" spans="1:5" x14ac:dyDescent="0.2">
      <c r="A4" s="1" t="s">
        <v>2</v>
      </c>
      <c r="B4" s="5">
        <v>33</v>
      </c>
      <c r="C4" s="2" t="s">
        <v>168</v>
      </c>
    </row>
    <row r="5" spans="1:5" x14ac:dyDescent="0.2">
      <c r="A5" s="1" t="s">
        <v>3</v>
      </c>
      <c r="B5" s="6" t="s">
        <v>4</v>
      </c>
    </row>
    <row r="6" spans="1:5" x14ac:dyDescent="0.2">
      <c r="A6" s="1" t="s">
        <v>5</v>
      </c>
      <c r="B6" s="7">
        <v>40.047547618373763</v>
      </c>
    </row>
    <row r="7" spans="1:5" x14ac:dyDescent="0.2">
      <c r="A7" s="1"/>
      <c r="B7" s="5"/>
    </row>
    <row r="8" spans="1:5" ht="13.5" thickBot="1" x14ac:dyDescent="0.25"/>
    <row r="9" spans="1:5" ht="14.25" thickTop="1" thickBot="1" x14ac:dyDescent="0.25">
      <c r="A9" s="8" t="s">
        <v>6</v>
      </c>
      <c r="B9" s="9" t="s">
        <v>7</v>
      </c>
      <c r="C9" s="9" t="s">
        <v>8</v>
      </c>
      <c r="D9" s="10" t="s">
        <v>9</v>
      </c>
    </row>
    <row r="10" spans="1:5" ht="13.5" thickTop="1" x14ac:dyDescent="0.2">
      <c r="A10" s="11" t="s">
        <v>10</v>
      </c>
      <c r="B10" s="12" t="s">
        <v>11</v>
      </c>
      <c r="C10" s="13">
        <v>600</v>
      </c>
      <c r="D10" s="14">
        <f t="shared" ref="D10:D17" si="0">C10/$B$6</f>
        <v>14.982190812720846</v>
      </c>
    </row>
    <row r="11" spans="1:5" x14ac:dyDescent="0.2">
      <c r="A11" s="15" t="s">
        <v>12</v>
      </c>
      <c r="B11" s="16" t="s">
        <v>13</v>
      </c>
      <c r="C11" s="17">
        <v>1650</v>
      </c>
      <c r="D11" s="18">
        <f t="shared" si="0"/>
        <v>41.201024734982326</v>
      </c>
    </row>
    <row r="12" spans="1:5" x14ac:dyDescent="0.2">
      <c r="A12" s="15" t="s">
        <v>10</v>
      </c>
      <c r="B12" s="16" t="s">
        <v>14</v>
      </c>
      <c r="C12" s="17">
        <v>200</v>
      </c>
      <c r="D12" s="18">
        <f t="shared" si="0"/>
        <v>4.9940636042402824</v>
      </c>
    </row>
    <row r="13" spans="1:5" x14ac:dyDescent="0.2">
      <c r="A13" s="15" t="s">
        <v>15</v>
      </c>
      <c r="B13" s="16" t="s">
        <v>16</v>
      </c>
      <c r="C13" s="17">
        <v>100</v>
      </c>
      <c r="D13" s="18">
        <f t="shared" si="0"/>
        <v>2.4970318021201412</v>
      </c>
    </row>
    <row r="14" spans="1:5" x14ac:dyDescent="0.2">
      <c r="A14" s="15" t="s">
        <v>10</v>
      </c>
      <c r="B14" s="16" t="s">
        <v>14</v>
      </c>
      <c r="C14" s="17">
        <v>200</v>
      </c>
      <c r="D14" s="18">
        <f t="shared" si="0"/>
        <v>4.9940636042402824</v>
      </c>
    </row>
    <row r="15" spans="1:5" x14ac:dyDescent="0.2">
      <c r="A15" s="15" t="s">
        <v>10</v>
      </c>
      <c r="B15" s="16" t="s">
        <v>17</v>
      </c>
      <c r="C15" s="17">
        <f>370/2</f>
        <v>185</v>
      </c>
      <c r="D15" s="18">
        <f t="shared" si="0"/>
        <v>4.6195088339222607</v>
      </c>
    </row>
    <row r="16" spans="1:5" x14ac:dyDescent="0.2">
      <c r="A16" s="15" t="s">
        <v>18</v>
      </c>
      <c r="B16" s="16" t="s">
        <v>19</v>
      </c>
      <c r="C16" s="17">
        <v>400</v>
      </c>
      <c r="D16" s="18">
        <f t="shared" si="0"/>
        <v>9.9881272084805648</v>
      </c>
    </row>
    <row r="17" spans="1:8" x14ac:dyDescent="0.2">
      <c r="A17" s="15" t="s">
        <v>18</v>
      </c>
      <c r="B17" s="16" t="s">
        <v>20</v>
      </c>
      <c r="C17" s="17">
        <v>300</v>
      </c>
      <c r="D17" s="18">
        <f t="shared" si="0"/>
        <v>7.4910954063604231</v>
      </c>
    </row>
    <row r="18" spans="1:8" x14ac:dyDescent="0.2">
      <c r="A18" s="15"/>
      <c r="B18" s="16"/>
      <c r="C18" s="17"/>
      <c r="D18" s="18"/>
    </row>
    <row r="19" spans="1:8" ht="13.5" thickBot="1" x14ac:dyDescent="0.25">
      <c r="A19" s="19"/>
      <c r="B19" s="20"/>
      <c r="C19" s="21"/>
      <c r="D19" s="22"/>
    </row>
    <row r="20" spans="1:8" ht="14.25" thickTop="1" thickBot="1" x14ac:dyDescent="0.25">
      <c r="A20" s="23"/>
      <c r="B20" s="24" t="s">
        <v>21</v>
      </c>
      <c r="C20" s="25" t="s">
        <v>22</v>
      </c>
      <c r="D20" s="26">
        <f>SUM(D10:D19)</f>
        <v>90.767106007067142</v>
      </c>
    </row>
    <row r="21" spans="1:8" ht="14.25" thickTop="1" thickBot="1" x14ac:dyDescent="0.25">
      <c r="B21" s="4"/>
    </row>
    <row r="22" spans="1:8" ht="14.25" thickTop="1" thickBot="1" x14ac:dyDescent="0.25">
      <c r="A22" s="8" t="s">
        <v>6</v>
      </c>
      <c r="B22" s="9" t="s">
        <v>23</v>
      </c>
      <c r="C22" s="9" t="s">
        <v>8</v>
      </c>
      <c r="D22" s="10" t="s">
        <v>9</v>
      </c>
    </row>
    <row r="23" spans="1:8" ht="13.5" thickTop="1" x14ac:dyDescent="0.2">
      <c r="A23" s="11" t="s">
        <v>10</v>
      </c>
      <c r="B23" s="12" t="s">
        <v>24</v>
      </c>
      <c r="C23" s="13">
        <f>(100+100+60+70)/2</f>
        <v>165</v>
      </c>
      <c r="D23" s="14">
        <f t="shared" ref="D23:D101" si="1">C23/$B$6</f>
        <v>4.1201024734982328</v>
      </c>
    </row>
    <row r="24" spans="1:8" x14ac:dyDescent="0.2">
      <c r="A24" s="15" t="s">
        <v>10</v>
      </c>
      <c r="B24" s="16" t="s">
        <v>25</v>
      </c>
      <c r="C24" s="17">
        <f>(120+100+60)/2</f>
        <v>140</v>
      </c>
      <c r="D24" s="18">
        <f t="shared" si="1"/>
        <v>3.4958445229681976</v>
      </c>
    </row>
    <row r="25" spans="1:8" ht="13.5" thickBot="1" x14ac:dyDescent="0.25">
      <c r="A25" s="15" t="s">
        <v>10</v>
      </c>
      <c r="B25" s="16" t="s">
        <v>26</v>
      </c>
      <c r="C25" s="17">
        <f>(20+37)/2</f>
        <v>28.5</v>
      </c>
      <c r="D25" s="18">
        <f t="shared" si="1"/>
        <v>0.71165406360424022</v>
      </c>
    </row>
    <row r="26" spans="1:8" ht="13.5" thickBot="1" x14ac:dyDescent="0.25">
      <c r="A26" s="15" t="s">
        <v>10</v>
      </c>
      <c r="B26" s="16" t="s">
        <v>27</v>
      </c>
      <c r="C26" s="17">
        <f>(50+30+25+17+20)/2</f>
        <v>71</v>
      </c>
      <c r="D26" s="18">
        <f t="shared" si="1"/>
        <v>1.7728925795053001</v>
      </c>
      <c r="F26" s="27" t="s">
        <v>28</v>
      </c>
      <c r="G26" s="28"/>
      <c r="H26" s="29"/>
    </row>
    <row r="27" spans="1:8" ht="13.5" thickBot="1" x14ac:dyDescent="0.25">
      <c r="A27" s="15" t="s">
        <v>10</v>
      </c>
      <c r="B27" s="16" t="s">
        <v>25</v>
      </c>
      <c r="C27" s="17">
        <f>(280+60+80)/2</f>
        <v>210</v>
      </c>
      <c r="D27" s="18">
        <f t="shared" si="1"/>
        <v>5.2437667844522959</v>
      </c>
      <c r="F27" s="30"/>
      <c r="G27" s="31" t="s">
        <v>29</v>
      </c>
      <c r="H27" s="32">
        <f>(D20+D103+D129+D145+D169)/$B$4</f>
        <v>15.904831452332511</v>
      </c>
    </row>
    <row r="28" spans="1:8" x14ac:dyDescent="0.2">
      <c r="A28" s="15" t="s">
        <v>10</v>
      </c>
      <c r="B28" s="16" t="s">
        <v>30</v>
      </c>
      <c r="C28" s="17">
        <f>(50+40+20+33)/2</f>
        <v>71.5</v>
      </c>
      <c r="D28" s="18">
        <f t="shared" si="1"/>
        <v>1.7853777385159009</v>
      </c>
      <c r="F28" s="33"/>
      <c r="G28" s="34" t="s">
        <v>31</v>
      </c>
      <c r="H28" s="35">
        <f>D20/B4</f>
        <v>2.7505183638505195</v>
      </c>
    </row>
    <row r="29" spans="1:8" x14ac:dyDescent="0.2">
      <c r="A29" s="15" t="s">
        <v>10</v>
      </c>
      <c r="B29" s="16" t="s">
        <v>32</v>
      </c>
      <c r="C29" s="17">
        <v>30</v>
      </c>
      <c r="D29" s="18">
        <f t="shared" si="1"/>
        <v>0.74910954063604229</v>
      </c>
      <c r="F29" s="36"/>
      <c r="G29" s="37" t="s">
        <v>33</v>
      </c>
      <c r="H29" s="38">
        <f>D103/B4</f>
        <v>4.9195309883285141</v>
      </c>
    </row>
    <row r="30" spans="1:8" x14ac:dyDescent="0.2">
      <c r="A30" s="15" t="s">
        <v>10</v>
      </c>
      <c r="B30" s="16" t="s">
        <v>34</v>
      </c>
      <c r="C30" s="17">
        <f>(322+29)/2</f>
        <v>175.5</v>
      </c>
      <c r="D30" s="18">
        <f t="shared" si="1"/>
        <v>4.3822908127208473</v>
      </c>
      <c r="F30" s="36"/>
      <c r="G30" s="37" t="s">
        <v>35</v>
      </c>
      <c r="H30" s="38">
        <f>+D129/B4</f>
        <v>1.7948361923118101</v>
      </c>
    </row>
    <row r="31" spans="1:8" x14ac:dyDescent="0.2">
      <c r="A31" s="15" t="s">
        <v>10</v>
      </c>
      <c r="B31" s="16" t="s">
        <v>36</v>
      </c>
      <c r="C31" s="17">
        <f>106/2</f>
        <v>53</v>
      </c>
      <c r="D31" s="18">
        <f t="shared" si="1"/>
        <v>1.3234268551236748</v>
      </c>
      <c r="F31" s="36"/>
      <c r="G31" s="39" t="s">
        <v>37</v>
      </c>
      <c r="H31" s="38">
        <f>+D145/B4</f>
        <v>4.2058591212478138</v>
      </c>
    </row>
    <row r="32" spans="1:8" ht="13.5" thickBot="1" x14ac:dyDescent="0.25">
      <c r="A32" s="15" t="s">
        <v>10</v>
      </c>
      <c r="B32" s="16" t="s">
        <v>38</v>
      </c>
      <c r="C32" s="17">
        <f>97/2</f>
        <v>48.5</v>
      </c>
      <c r="D32" s="18">
        <f t="shared" si="1"/>
        <v>1.2110604240282685</v>
      </c>
      <c r="F32" s="40"/>
      <c r="G32" s="41" t="s">
        <v>39</v>
      </c>
      <c r="H32" s="42">
        <f>+D169/B4</f>
        <v>2.2340867865938541</v>
      </c>
    </row>
    <row r="33" spans="1:10" x14ac:dyDescent="0.2">
      <c r="A33" s="15" t="s">
        <v>10</v>
      </c>
      <c r="B33" s="16" t="s">
        <v>40</v>
      </c>
      <c r="C33" s="17">
        <f>135/2</f>
        <v>67.5</v>
      </c>
      <c r="D33" s="18">
        <f t="shared" si="1"/>
        <v>1.6854964664310952</v>
      </c>
    </row>
    <row r="34" spans="1:10" x14ac:dyDescent="0.2">
      <c r="A34" s="15" t="s">
        <v>10</v>
      </c>
      <c r="B34" s="16" t="s">
        <v>41</v>
      </c>
      <c r="C34" s="17">
        <f>(30+12+12+13+10)/2</f>
        <v>38.5</v>
      </c>
      <c r="D34" s="18">
        <f t="shared" si="1"/>
        <v>0.96135724381625431</v>
      </c>
      <c r="F34" s="36" t="s">
        <v>42</v>
      </c>
      <c r="G34" s="37"/>
      <c r="H34" s="38">
        <v>0</v>
      </c>
    </row>
    <row r="35" spans="1:10" ht="13.5" thickBot="1" x14ac:dyDescent="0.25">
      <c r="A35" s="15" t="s">
        <v>12</v>
      </c>
      <c r="B35" s="16" t="s">
        <v>43</v>
      </c>
      <c r="C35" s="17">
        <f>80/2</f>
        <v>40</v>
      </c>
      <c r="D35" s="18">
        <f t="shared" si="1"/>
        <v>0.99881272084805639</v>
      </c>
    </row>
    <row r="36" spans="1:10" ht="13.5" thickBot="1" x14ac:dyDescent="0.25">
      <c r="A36" s="15" t="s">
        <v>12</v>
      </c>
      <c r="B36" s="16" t="s">
        <v>44</v>
      </c>
      <c r="C36" s="17">
        <f>298/2</f>
        <v>149</v>
      </c>
      <c r="D36" s="18">
        <f t="shared" si="1"/>
        <v>3.72057738515901</v>
      </c>
      <c r="F36" s="30"/>
      <c r="G36" s="31" t="s">
        <v>29</v>
      </c>
      <c r="H36" s="32">
        <f>H27*$B$4+H34</f>
        <v>524.85943792697287</v>
      </c>
    </row>
    <row r="37" spans="1:10" ht="13.5" thickBot="1" x14ac:dyDescent="0.25">
      <c r="A37" s="15" t="s">
        <v>12</v>
      </c>
      <c r="B37" s="16" t="s">
        <v>45</v>
      </c>
      <c r="C37" s="17">
        <f>190/2</f>
        <v>95</v>
      </c>
      <c r="D37" s="18">
        <f t="shared" si="1"/>
        <v>2.372180212014134</v>
      </c>
    </row>
    <row r="38" spans="1:10" ht="13.5" thickBot="1" x14ac:dyDescent="0.25">
      <c r="A38" s="15" t="s">
        <v>12</v>
      </c>
      <c r="B38" s="16" t="s">
        <v>46</v>
      </c>
      <c r="C38" s="17">
        <f>198/2</f>
        <v>99</v>
      </c>
      <c r="D38" s="18">
        <f t="shared" si="1"/>
        <v>2.4720614840989397</v>
      </c>
      <c r="F38" s="27" t="s">
        <v>47</v>
      </c>
      <c r="G38" s="28"/>
      <c r="H38" s="29"/>
    </row>
    <row r="39" spans="1:10" ht="13.5" thickBot="1" x14ac:dyDescent="0.25">
      <c r="A39" s="15" t="s">
        <v>12</v>
      </c>
      <c r="B39" s="16" t="s">
        <v>48</v>
      </c>
      <c r="C39" s="17">
        <f>95/2</f>
        <v>47.5</v>
      </c>
      <c r="D39" s="18">
        <f t="shared" si="1"/>
        <v>1.186090106007067</v>
      </c>
      <c r="F39" s="30"/>
      <c r="G39" s="31" t="s">
        <v>29</v>
      </c>
      <c r="H39" s="32">
        <f>30*B4</f>
        <v>990</v>
      </c>
    </row>
    <row r="40" spans="1:10" ht="13.5" thickBot="1" x14ac:dyDescent="0.25">
      <c r="A40" s="15" t="s">
        <v>12</v>
      </c>
      <c r="B40" s="16" t="s">
        <v>49</v>
      </c>
      <c r="C40" s="17">
        <f>60/2</f>
        <v>30</v>
      </c>
      <c r="D40" s="18">
        <f t="shared" si="1"/>
        <v>0.74910954063604229</v>
      </c>
      <c r="H40" s="43">
        <f>H39-H36</f>
        <v>465.14056207302713</v>
      </c>
      <c r="J40" s="44"/>
    </row>
    <row r="41" spans="1:10" x14ac:dyDescent="0.2">
      <c r="A41" s="15" t="s">
        <v>12</v>
      </c>
      <c r="B41" s="16" t="s">
        <v>50</v>
      </c>
      <c r="C41" s="17">
        <f>310/2</f>
        <v>155</v>
      </c>
      <c r="D41" s="18">
        <f t="shared" si="1"/>
        <v>3.8703992932862188</v>
      </c>
    </row>
    <row r="42" spans="1:10" x14ac:dyDescent="0.2">
      <c r="A42" s="15" t="s">
        <v>12</v>
      </c>
      <c r="B42" s="16" t="s">
        <v>51</v>
      </c>
      <c r="C42" s="17">
        <f>(17+20)/2</f>
        <v>18.5</v>
      </c>
      <c r="D42" s="18">
        <f t="shared" si="1"/>
        <v>0.46195088339222612</v>
      </c>
      <c r="F42" s="36" t="s">
        <v>52</v>
      </c>
      <c r="G42" s="37"/>
      <c r="H42" s="38">
        <v>600</v>
      </c>
    </row>
    <row r="43" spans="1:10" ht="13.5" thickBot="1" x14ac:dyDescent="0.25">
      <c r="A43" s="15" t="s">
        <v>12</v>
      </c>
      <c r="B43" s="16" t="s">
        <v>53</v>
      </c>
      <c r="C43" s="17">
        <f>240/2</f>
        <v>120</v>
      </c>
      <c r="D43" s="18">
        <f t="shared" si="1"/>
        <v>2.9964381625441692</v>
      </c>
      <c r="J43" s="44"/>
    </row>
    <row r="44" spans="1:10" ht="13.5" thickBot="1" x14ac:dyDescent="0.25">
      <c r="A44" s="15" t="s">
        <v>12</v>
      </c>
      <c r="B44" s="16" t="s">
        <v>54</v>
      </c>
      <c r="C44" s="17">
        <f>(136+12)/2</f>
        <v>74</v>
      </c>
      <c r="D44" s="18">
        <f t="shared" si="1"/>
        <v>1.8478035335689045</v>
      </c>
      <c r="F44" s="30"/>
      <c r="G44" s="31" t="s">
        <v>29</v>
      </c>
      <c r="H44" s="32">
        <f>H42+H36</f>
        <v>1124.859437926973</v>
      </c>
    </row>
    <row r="45" spans="1:10" ht="13.5" thickBot="1" x14ac:dyDescent="0.25">
      <c r="A45" s="15" t="s">
        <v>12</v>
      </c>
      <c r="B45" s="16" t="s">
        <v>55</v>
      </c>
      <c r="C45" s="17">
        <f>160/2</f>
        <v>80</v>
      </c>
      <c r="D45" s="18">
        <f t="shared" si="1"/>
        <v>1.9976254416961128</v>
      </c>
    </row>
    <row r="46" spans="1:10" ht="13.5" thickBot="1" x14ac:dyDescent="0.25">
      <c r="A46" s="15" t="s">
        <v>12</v>
      </c>
      <c r="B46" s="16" t="s">
        <v>56</v>
      </c>
      <c r="C46" s="17">
        <f>(177-64-25)/2</f>
        <v>44</v>
      </c>
      <c r="D46" s="18">
        <f t="shared" si="1"/>
        <v>1.0986939929328621</v>
      </c>
      <c r="F46" s="27" t="s">
        <v>47</v>
      </c>
      <c r="G46" s="28"/>
      <c r="H46" s="29"/>
    </row>
    <row r="47" spans="1:10" ht="13.5" thickBot="1" x14ac:dyDescent="0.25">
      <c r="A47" s="15" t="s">
        <v>12</v>
      </c>
      <c r="B47" s="16" t="s">
        <v>57</v>
      </c>
      <c r="C47" s="17">
        <f>90/2</f>
        <v>45</v>
      </c>
      <c r="D47" s="18">
        <f t="shared" si="1"/>
        <v>1.1236643109540634</v>
      </c>
      <c r="F47" s="30"/>
      <c r="G47" s="31" t="s">
        <v>29</v>
      </c>
      <c r="H47" s="32">
        <f>H39+200</f>
        <v>1190</v>
      </c>
      <c r="J47" s="44"/>
    </row>
    <row r="48" spans="1:10" ht="13.5" thickBot="1" x14ac:dyDescent="0.25">
      <c r="A48" s="15" t="s">
        <v>12</v>
      </c>
      <c r="B48" s="16" t="s">
        <v>58</v>
      </c>
      <c r="C48" s="17">
        <f>(230+15)/2</f>
        <v>122.5</v>
      </c>
      <c r="D48" s="18">
        <f t="shared" si="1"/>
        <v>3.0588639575971728</v>
      </c>
      <c r="H48" s="43">
        <f>H47-H44</f>
        <v>65.140562073027013</v>
      </c>
      <c r="J48" s="44"/>
    </row>
    <row r="49" spans="1:7" x14ac:dyDescent="0.2">
      <c r="A49" s="15" t="s">
        <v>12</v>
      </c>
      <c r="B49" s="16" t="s">
        <v>53</v>
      </c>
      <c r="C49" s="17">
        <f>315/2</f>
        <v>157.5</v>
      </c>
      <c r="D49" s="18">
        <f t="shared" si="1"/>
        <v>3.9328250883392224</v>
      </c>
    </row>
    <row r="50" spans="1:7" x14ac:dyDescent="0.2">
      <c r="A50" s="15" t="s">
        <v>12</v>
      </c>
      <c r="B50" s="16" t="s">
        <v>58</v>
      </c>
      <c r="C50" s="17">
        <v>90</v>
      </c>
      <c r="D50" s="18">
        <f t="shared" si="1"/>
        <v>2.2473286219081268</v>
      </c>
    </row>
    <row r="51" spans="1:7" x14ac:dyDescent="0.2">
      <c r="A51" s="15" t="s">
        <v>12</v>
      </c>
      <c r="B51" s="16" t="s">
        <v>58</v>
      </c>
      <c r="C51" s="17">
        <f>305/2</f>
        <v>152.5</v>
      </c>
      <c r="D51" s="18">
        <f t="shared" si="1"/>
        <v>3.8079734982332152</v>
      </c>
    </row>
    <row r="52" spans="1:7" x14ac:dyDescent="0.2">
      <c r="A52" s="15" t="s">
        <v>12</v>
      </c>
      <c r="B52" s="16" t="s">
        <v>58</v>
      </c>
      <c r="C52" s="17">
        <f>(10+120+24+8)/2</f>
        <v>81</v>
      </c>
      <c r="D52" s="18">
        <f t="shared" si="1"/>
        <v>2.0225957597173143</v>
      </c>
    </row>
    <row r="53" spans="1:7" x14ac:dyDescent="0.2">
      <c r="A53" s="15" t="s">
        <v>12</v>
      </c>
      <c r="B53" s="16" t="s">
        <v>58</v>
      </c>
      <c r="C53" s="17">
        <f>(15+220)/2</f>
        <v>117.5</v>
      </c>
      <c r="D53" s="18">
        <f t="shared" si="1"/>
        <v>2.9340123674911656</v>
      </c>
    </row>
    <row r="54" spans="1:7" x14ac:dyDescent="0.2">
      <c r="A54" s="15" t="s">
        <v>12</v>
      </c>
      <c r="B54" s="16" t="s">
        <v>59</v>
      </c>
      <c r="C54" s="17">
        <f>67/2</f>
        <v>33.5</v>
      </c>
      <c r="D54" s="18">
        <f t="shared" si="1"/>
        <v>0.83650565371024721</v>
      </c>
    </row>
    <row r="55" spans="1:7" x14ac:dyDescent="0.2">
      <c r="A55" s="15" t="s">
        <v>12</v>
      </c>
      <c r="B55" s="16" t="s">
        <v>60</v>
      </c>
      <c r="C55" s="17">
        <v>50</v>
      </c>
      <c r="D55" s="18">
        <f t="shared" si="1"/>
        <v>1.2485159010600706</v>
      </c>
    </row>
    <row r="56" spans="1:7" x14ac:dyDescent="0.2">
      <c r="A56" s="15" t="s">
        <v>12</v>
      </c>
      <c r="B56" s="16" t="s">
        <v>61</v>
      </c>
      <c r="C56" s="17">
        <f>(1145+78)/2</f>
        <v>611.5</v>
      </c>
      <c r="D56" s="18">
        <f t="shared" si="1"/>
        <v>15.269349469964663</v>
      </c>
      <c r="G56" s="1"/>
    </row>
    <row r="57" spans="1:7" x14ac:dyDescent="0.2">
      <c r="A57" s="15" t="s">
        <v>12</v>
      </c>
      <c r="B57" s="16" t="s">
        <v>62</v>
      </c>
      <c r="C57" s="17">
        <f>(60+60+50)/2</f>
        <v>85</v>
      </c>
      <c r="D57" s="18">
        <f t="shared" si="1"/>
        <v>2.12247703180212</v>
      </c>
    </row>
    <row r="58" spans="1:7" x14ac:dyDescent="0.2">
      <c r="A58" s="15" t="s">
        <v>12</v>
      </c>
      <c r="B58" s="16" t="s">
        <v>63</v>
      </c>
      <c r="C58" s="17">
        <f>(45*4+30)/2</f>
        <v>105</v>
      </c>
      <c r="D58" s="18">
        <f t="shared" si="1"/>
        <v>2.621883392226148</v>
      </c>
    </row>
    <row r="59" spans="1:7" x14ac:dyDescent="0.2">
      <c r="A59" s="15" t="s">
        <v>12</v>
      </c>
      <c r="B59" s="16" t="s">
        <v>64</v>
      </c>
      <c r="C59" s="17">
        <f>23/2</f>
        <v>11.5</v>
      </c>
      <c r="D59" s="18">
        <f t="shared" si="1"/>
        <v>0.28715865724381623</v>
      </c>
    </row>
    <row r="60" spans="1:7" x14ac:dyDescent="0.2">
      <c r="A60" s="15" t="s">
        <v>12</v>
      </c>
      <c r="B60" s="16" t="s">
        <v>65</v>
      </c>
      <c r="C60" s="17">
        <f>(5+275)/2</f>
        <v>140</v>
      </c>
      <c r="D60" s="18">
        <f t="shared" si="1"/>
        <v>3.4958445229681976</v>
      </c>
    </row>
    <row r="61" spans="1:7" x14ac:dyDescent="0.2">
      <c r="A61" s="15" t="s">
        <v>66</v>
      </c>
      <c r="B61" s="16" t="s">
        <v>67</v>
      </c>
      <c r="C61" s="17">
        <f>(30+38+23+20)/2</f>
        <v>55.5</v>
      </c>
      <c r="D61" s="18">
        <f t="shared" si="1"/>
        <v>1.3858526501766784</v>
      </c>
    </row>
    <row r="62" spans="1:7" x14ac:dyDescent="0.2">
      <c r="A62" s="15" t="s">
        <v>10</v>
      </c>
      <c r="B62" s="16" t="s">
        <v>59</v>
      </c>
      <c r="C62" s="17">
        <f>(116+20-25)/2</f>
        <v>55.5</v>
      </c>
      <c r="D62" s="18">
        <f t="shared" si="1"/>
        <v>1.3858526501766784</v>
      </c>
    </row>
    <row r="63" spans="1:7" x14ac:dyDescent="0.2">
      <c r="A63" s="15" t="s">
        <v>10</v>
      </c>
      <c r="B63" s="16" t="s">
        <v>68</v>
      </c>
      <c r="C63" s="17">
        <f>(80+15)/2</f>
        <v>47.5</v>
      </c>
      <c r="D63" s="18">
        <f t="shared" si="1"/>
        <v>1.186090106007067</v>
      </c>
    </row>
    <row r="64" spans="1:7" x14ac:dyDescent="0.2">
      <c r="A64" s="15" t="s">
        <v>10</v>
      </c>
      <c r="B64" s="16" t="s">
        <v>69</v>
      </c>
      <c r="C64" s="17">
        <f>(76+18)/2</f>
        <v>47</v>
      </c>
      <c r="D64" s="18">
        <f t="shared" si="1"/>
        <v>1.1736049469964662</v>
      </c>
    </row>
    <row r="65" spans="1:4" x14ac:dyDescent="0.2">
      <c r="A65" s="15" t="s">
        <v>10</v>
      </c>
      <c r="B65" s="16" t="s">
        <v>25</v>
      </c>
      <c r="C65" s="17">
        <v>110</v>
      </c>
      <c r="D65" s="18">
        <f t="shared" si="1"/>
        <v>2.7467349823321552</v>
      </c>
    </row>
    <row r="66" spans="1:4" x14ac:dyDescent="0.2">
      <c r="A66" s="15" t="s">
        <v>10</v>
      </c>
      <c r="B66" s="16" t="s">
        <v>70</v>
      </c>
      <c r="C66" s="17">
        <f>13/2</f>
        <v>6.5</v>
      </c>
      <c r="D66" s="18">
        <f t="shared" si="1"/>
        <v>0.16230706713780918</v>
      </c>
    </row>
    <row r="67" spans="1:4" x14ac:dyDescent="0.2">
      <c r="A67" s="15" t="s">
        <v>15</v>
      </c>
      <c r="B67" s="16" t="s">
        <v>71</v>
      </c>
      <c r="C67" s="17">
        <f>75/2</f>
        <v>37.5</v>
      </c>
      <c r="D67" s="18">
        <f t="shared" si="1"/>
        <v>0.93638692579505289</v>
      </c>
    </row>
    <row r="68" spans="1:4" x14ac:dyDescent="0.2">
      <c r="A68" s="15" t="s">
        <v>15</v>
      </c>
      <c r="B68" s="16" t="s">
        <v>72</v>
      </c>
      <c r="C68" s="17">
        <f>65/2</f>
        <v>32.5</v>
      </c>
      <c r="D68" s="18">
        <f t="shared" si="1"/>
        <v>0.8115353356890459</v>
      </c>
    </row>
    <row r="69" spans="1:4" x14ac:dyDescent="0.2">
      <c r="A69" s="15" t="s">
        <v>15</v>
      </c>
      <c r="B69" s="16" t="s">
        <v>73</v>
      </c>
      <c r="C69" s="17">
        <f>(90+40+5)/2</f>
        <v>67.5</v>
      </c>
      <c r="D69" s="18">
        <f t="shared" si="1"/>
        <v>1.6854964664310952</v>
      </c>
    </row>
    <row r="70" spans="1:4" x14ac:dyDescent="0.2">
      <c r="A70" s="15" t="s">
        <v>15</v>
      </c>
      <c r="B70" s="16" t="s">
        <v>74</v>
      </c>
      <c r="C70" s="17">
        <v>135</v>
      </c>
      <c r="D70" s="18">
        <f t="shared" si="1"/>
        <v>3.3709929328621904</v>
      </c>
    </row>
    <row r="71" spans="1:4" x14ac:dyDescent="0.2">
      <c r="A71" s="15" t="s">
        <v>10</v>
      </c>
      <c r="B71" s="16" t="s">
        <v>75</v>
      </c>
      <c r="C71" s="17">
        <f>(50+13)/2</f>
        <v>31.5</v>
      </c>
      <c r="D71" s="18">
        <f t="shared" si="1"/>
        <v>0.78656501766784448</v>
      </c>
    </row>
    <row r="72" spans="1:4" x14ac:dyDescent="0.2">
      <c r="A72" s="15" t="s">
        <v>10</v>
      </c>
      <c r="B72" s="16" t="s">
        <v>76</v>
      </c>
      <c r="C72" s="17">
        <f>(190+33)/2</f>
        <v>111.5</v>
      </c>
      <c r="D72" s="18">
        <f t="shared" si="1"/>
        <v>2.7841904593639573</v>
      </c>
    </row>
    <row r="73" spans="1:4" x14ac:dyDescent="0.2">
      <c r="A73" s="15" t="s">
        <v>10</v>
      </c>
      <c r="B73" s="16" t="s">
        <v>77</v>
      </c>
      <c r="C73" s="17">
        <f>85/2</f>
        <v>42.5</v>
      </c>
      <c r="D73" s="18">
        <f t="shared" si="1"/>
        <v>1.06123851590106</v>
      </c>
    </row>
    <row r="74" spans="1:4" x14ac:dyDescent="0.2">
      <c r="A74" s="15" t="s">
        <v>10</v>
      </c>
      <c r="B74" s="16" t="s">
        <v>78</v>
      </c>
      <c r="C74" s="17">
        <f>(30+120+20)/2</f>
        <v>85</v>
      </c>
      <c r="D74" s="18">
        <f t="shared" si="1"/>
        <v>2.12247703180212</v>
      </c>
    </row>
    <row r="75" spans="1:4" x14ac:dyDescent="0.2">
      <c r="A75" s="15" t="s">
        <v>10</v>
      </c>
      <c r="B75" s="16" t="s">
        <v>79</v>
      </c>
      <c r="C75" s="17">
        <f>(100+44+13)/2</f>
        <v>78.5</v>
      </c>
      <c r="D75" s="18">
        <f t="shared" si="1"/>
        <v>1.9601699646643107</v>
      </c>
    </row>
    <row r="76" spans="1:4" x14ac:dyDescent="0.2">
      <c r="A76" s="15" t="s">
        <v>10</v>
      </c>
      <c r="B76" s="16" t="s">
        <v>77</v>
      </c>
      <c r="C76" s="17">
        <f>(79-15+30)/2</f>
        <v>47</v>
      </c>
      <c r="D76" s="18">
        <f t="shared" si="1"/>
        <v>1.1736049469964662</v>
      </c>
    </row>
    <row r="77" spans="1:4" x14ac:dyDescent="0.2">
      <c r="A77" s="15" t="s">
        <v>10</v>
      </c>
      <c r="B77" s="16" t="s">
        <v>80</v>
      </c>
      <c r="C77" s="17">
        <f>424/2</f>
        <v>212</v>
      </c>
      <c r="D77" s="18">
        <f t="shared" si="1"/>
        <v>5.293707420494699</v>
      </c>
    </row>
    <row r="78" spans="1:4" x14ac:dyDescent="0.2">
      <c r="A78" s="15" t="s">
        <v>81</v>
      </c>
      <c r="B78" s="16" t="s">
        <v>82</v>
      </c>
      <c r="C78" s="17">
        <f>(117+20+10+60)/2</f>
        <v>103.5</v>
      </c>
      <c r="D78" s="18">
        <f t="shared" si="1"/>
        <v>2.5844279151943459</v>
      </c>
    </row>
    <row r="79" spans="1:4" x14ac:dyDescent="0.2">
      <c r="A79" s="15" t="s">
        <v>18</v>
      </c>
      <c r="B79" s="16" t="s">
        <v>83</v>
      </c>
      <c r="C79" s="17">
        <v>120</v>
      </c>
      <c r="D79" s="18">
        <f t="shared" si="1"/>
        <v>2.9964381625441692</v>
      </c>
    </row>
    <row r="80" spans="1:4" x14ac:dyDescent="0.2">
      <c r="A80" s="15" t="s">
        <v>18</v>
      </c>
      <c r="B80" s="16" t="s">
        <v>84</v>
      </c>
      <c r="C80" s="17">
        <v>20</v>
      </c>
      <c r="D80" s="18">
        <f t="shared" si="1"/>
        <v>0.4994063604240282</v>
      </c>
    </row>
    <row r="81" spans="1:4" x14ac:dyDescent="0.2">
      <c r="A81" s="15" t="s">
        <v>18</v>
      </c>
      <c r="B81" s="16" t="s">
        <v>85</v>
      </c>
      <c r="C81" s="17">
        <f>153/2</f>
        <v>76.5</v>
      </c>
      <c r="D81" s="18">
        <f t="shared" si="1"/>
        <v>1.9102293286219079</v>
      </c>
    </row>
    <row r="82" spans="1:4" x14ac:dyDescent="0.2">
      <c r="A82" s="15" t="s">
        <v>18</v>
      </c>
      <c r="B82" s="16" t="s">
        <v>86</v>
      </c>
      <c r="C82" s="17">
        <f>35/2</f>
        <v>17.5</v>
      </c>
      <c r="D82" s="18">
        <f t="shared" si="1"/>
        <v>0.4369805653710247</v>
      </c>
    </row>
    <row r="83" spans="1:4" x14ac:dyDescent="0.2">
      <c r="A83" s="15" t="s">
        <v>18</v>
      </c>
      <c r="B83" s="16" t="s">
        <v>87</v>
      </c>
      <c r="C83" s="17">
        <v>1</v>
      </c>
      <c r="D83" s="18">
        <f t="shared" si="1"/>
        <v>2.497031802120141E-2</v>
      </c>
    </row>
    <row r="84" spans="1:4" x14ac:dyDescent="0.2">
      <c r="A84" s="15" t="s">
        <v>18</v>
      </c>
      <c r="B84" s="16" t="s">
        <v>88</v>
      </c>
      <c r="C84" s="17">
        <f>110/2</f>
        <v>55</v>
      </c>
      <c r="D84" s="18">
        <f t="shared" si="1"/>
        <v>1.3733674911660776</v>
      </c>
    </row>
    <row r="85" spans="1:4" x14ac:dyDescent="0.2">
      <c r="A85" s="15" t="s">
        <v>18</v>
      </c>
      <c r="B85" s="16" t="s">
        <v>89</v>
      </c>
      <c r="C85" s="17">
        <f>(205+50)/2</f>
        <v>127.5</v>
      </c>
      <c r="D85" s="18">
        <f t="shared" si="1"/>
        <v>3.18371554770318</v>
      </c>
    </row>
    <row r="86" spans="1:4" x14ac:dyDescent="0.2">
      <c r="A86" s="15" t="s">
        <v>18</v>
      </c>
      <c r="B86" s="16" t="s">
        <v>90</v>
      </c>
      <c r="C86" s="17">
        <f>(50+25+22)/2</f>
        <v>48.5</v>
      </c>
      <c r="D86" s="18">
        <f t="shared" si="1"/>
        <v>1.2110604240282685</v>
      </c>
    </row>
    <row r="87" spans="1:4" x14ac:dyDescent="0.2">
      <c r="A87" s="15" t="s">
        <v>18</v>
      </c>
      <c r="B87" s="16" t="s">
        <v>91</v>
      </c>
      <c r="C87" s="17">
        <f>70/2</f>
        <v>35</v>
      </c>
      <c r="D87" s="18">
        <f t="shared" si="1"/>
        <v>0.8739611307420494</v>
      </c>
    </row>
    <row r="88" spans="1:4" x14ac:dyDescent="0.2">
      <c r="A88" s="15" t="s">
        <v>18</v>
      </c>
      <c r="B88" s="16" t="s">
        <v>92</v>
      </c>
      <c r="C88" s="17">
        <f>(75+12)/2</f>
        <v>43.5</v>
      </c>
      <c r="D88" s="18">
        <f t="shared" si="1"/>
        <v>1.0862088339222613</v>
      </c>
    </row>
    <row r="89" spans="1:4" x14ac:dyDescent="0.2">
      <c r="A89" s="15" t="s">
        <v>18</v>
      </c>
      <c r="B89" s="16" t="s">
        <v>93</v>
      </c>
      <c r="C89" s="17">
        <v>199</v>
      </c>
      <c r="D89" s="18">
        <f t="shared" si="1"/>
        <v>4.9690932862190804</v>
      </c>
    </row>
    <row r="90" spans="1:4" x14ac:dyDescent="0.2">
      <c r="A90" s="15" t="s">
        <v>18</v>
      </c>
      <c r="B90" s="16" t="s">
        <v>94</v>
      </c>
      <c r="C90" s="17">
        <f>66/2</f>
        <v>33</v>
      </c>
      <c r="D90" s="18">
        <f t="shared" si="1"/>
        <v>0.82402049469964656</v>
      </c>
    </row>
    <row r="91" spans="1:4" x14ac:dyDescent="0.2">
      <c r="A91" s="15" t="s">
        <v>18</v>
      </c>
      <c r="B91" s="16" t="s">
        <v>83</v>
      </c>
      <c r="C91" s="17">
        <f>(50+25)/2</f>
        <v>37.5</v>
      </c>
      <c r="D91" s="18">
        <f t="shared" si="1"/>
        <v>0.93638692579505289</v>
      </c>
    </row>
    <row r="92" spans="1:4" x14ac:dyDescent="0.2">
      <c r="A92" s="15" t="s">
        <v>18</v>
      </c>
      <c r="B92" s="16" t="s">
        <v>32</v>
      </c>
      <c r="C92" s="17">
        <v>35</v>
      </c>
      <c r="D92" s="18">
        <f t="shared" si="1"/>
        <v>0.8739611307420494</v>
      </c>
    </row>
    <row r="93" spans="1:4" x14ac:dyDescent="0.2">
      <c r="A93" s="15" t="s">
        <v>95</v>
      </c>
      <c r="B93" s="16" t="s">
        <v>96</v>
      </c>
      <c r="C93" s="17">
        <f>(102+80+40)/2</f>
        <v>111</v>
      </c>
      <c r="D93" s="18">
        <f t="shared" si="1"/>
        <v>2.7717053003533567</v>
      </c>
    </row>
    <row r="94" spans="1:4" x14ac:dyDescent="0.2">
      <c r="A94" s="15" t="s">
        <v>18</v>
      </c>
      <c r="B94" s="16" t="s">
        <v>97</v>
      </c>
      <c r="C94" s="17">
        <f>(32+40)/2</f>
        <v>36</v>
      </c>
      <c r="D94" s="18">
        <f t="shared" si="1"/>
        <v>0.89893144876325082</v>
      </c>
    </row>
    <row r="95" spans="1:4" x14ac:dyDescent="0.2">
      <c r="A95" s="15" t="s">
        <v>18</v>
      </c>
      <c r="B95" s="16" t="s">
        <v>98</v>
      </c>
      <c r="C95" s="17">
        <f>(140+20)/2</f>
        <v>80</v>
      </c>
      <c r="D95" s="18">
        <f t="shared" si="1"/>
        <v>1.9976254416961128</v>
      </c>
    </row>
    <row r="96" spans="1:4" x14ac:dyDescent="0.2">
      <c r="A96" s="15" t="s">
        <v>18</v>
      </c>
      <c r="B96" s="16" t="s">
        <v>83</v>
      </c>
      <c r="C96" s="17">
        <f>75/2</f>
        <v>37.5</v>
      </c>
      <c r="D96" s="18">
        <f t="shared" si="1"/>
        <v>0.93638692579505289</v>
      </c>
    </row>
    <row r="97" spans="1:4" x14ac:dyDescent="0.2">
      <c r="A97" s="15" t="s">
        <v>18</v>
      </c>
      <c r="B97" s="16" t="s">
        <v>99</v>
      </c>
      <c r="C97" s="17">
        <f>(62+12+20)/2</f>
        <v>47</v>
      </c>
      <c r="D97" s="18">
        <f t="shared" si="1"/>
        <v>1.1736049469964662</v>
      </c>
    </row>
    <row r="98" spans="1:4" x14ac:dyDescent="0.2">
      <c r="A98" s="15" t="s">
        <v>18</v>
      </c>
      <c r="B98" s="16" t="s">
        <v>32</v>
      </c>
      <c r="C98" s="17">
        <f>(60+5+10)/2</f>
        <v>37.5</v>
      </c>
      <c r="D98" s="18">
        <f t="shared" si="1"/>
        <v>0.93638692579505289</v>
      </c>
    </row>
    <row r="99" spans="1:4" x14ac:dyDescent="0.2">
      <c r="A99" s="15" t="s">
        <v>18</v>
      </c>
      <c r="B99" s="16" t="s">
        <v>100</v>
      </c>
      <c r="C99" s="17">
        <f>+(44+35+30+12+10+30)/2</f>
        <v>80.5</v>
      </c>
      <c r="D99" s="18">
        <f t="shared" si="1"/>
        <v>2.0101106007067138</v>
      </c>
    </row>
    <row r="100" spans="1:4" x14ac:dyDescent="0.2">
      <c r="A100" s="15" t="s">
        <v>18</v>
      </c>
      <c r="B100" s="16" t="s">
        <v>101</v>
      </c>
      <c r="C100" s="17">
        <f>(70+30+1)/2</f>
        <v>50.5</v>
      </c>
      <c r="D100" s="18">
        <f t="shared" si="1"/>
        <v>1.2610010600706711</v>
      </c>
    </row>
    <row r="101" spans="1:4" x14ac:dyDescent="0.2">
      <c r="A101" s="15" t="s">
        <v>102</v>
      </c>
      <c r="B101" s="16" t="s">
        <v>87</v>
      </c>
      <c r="C101" s="17">
        <v>13</v>
      </c>
      <c r="D101" s="18">
        <f t="shared" si="1"/>
        <v>0.32461413427561836</v>
      </c>
    </row>
    <row r="102" spans="1:4" ht="13.5" thickBot="1" x14ac:dyDescent="0.25">
      <c r="A102" s="19"/>
      <c r="B102" s="20"/>
      <c r="C102" s="21"/>
      <c r="D102" s="22"/>
    </row>
    <row r="103" spans="1:4" ht="14.25" thickTop="1" thickBot="1" x14ac:dyDescent="0.25">
      <c r="B103" s="45" t="s">
        <v>103</v>
      </c>
      <c r="C103" s="46" t="s">
        <v>104</v>
      </c>
      <c r="D103" s="47">
        <f>SUM(D23:D102)</f>
        <v>162.34452261484097</v>
      </c>
    </row>
    <row r="104" spans="1:4" ht="14.25" thickTop="1" thickBot="1" x14ac:dyDescent="0.25">
      <c r="B104" s="4"/>
    </row>
    <row r="105" spans="1:4" ht="14.25" thickTop="1" thickBot="1" x14ac:dyDescent="0.25">
      <c r="A105" s="8" t="s">
        <v>105</v>
      </c>
      <c r="B105" s="9" t="s">
        <v>106</v>
      </c>
      <c r="C105" s="9" t="s">
        <v>8</v>
      </c>
      <c r="D105" s="10" t="s">
        <v>9</v>
      </c>
    </row>
    <row r="106" spans="1:4" ht="13.5" thickTop="1" x14ac:dyDescent="0.2">
      <c r="A106" s="11" t="s">
        <v>107</v>
      </c>
      <c r="B106" s="12" t="s">
        <v>108</v>
      </c>
      <c r="C106" s="13">
        <f>70/2</f>
        <v>35</v>
      </c>
      <c r="D106" s="14">
        <f t="shared" ref="D106:D125" si="2">C106/$B$6</f>
        <v>0.8739611307420494</v>
      </c>
    </row>
    <row r="107" spans="1:4" x14ac:dyDescent="0.2">
      <c r="A107" s="15" t="s">
        <v>107</v>
      </c>
      <c r="B107" s="16" t="s">
        <v>109</v>
      </c>
      <c r="C107" s="17">
        <f>59/2</f>
        <v>29.5</v>
      </c>
      <c r="D107" s="18">
        <f t="shared" si="2"/>
        <v>0.73662438162544164</v>
      </c>
    </row>
    <row r="108" spans="1:4" x14ac:dyDescent="0.2">
      <c r="A108" s="15" t="s">
        <v>110</v>
      </c>
      <c r="B108" s="16" t="s">
        <v>111</v>
      </c>
      <c r="C108" s="17">
        <f>3*15</f>
        <v>45</v>
      </c>
      <c r="D108" s="18">
        <f t="shared" si="2"/>
        <v>1.1236643109540634</v>
      </c>
    </row>
    <row r="109" spans="1:4" x14ac:dyDescent="0.2">
      <c r="A109" s="15" t="s">
        <v>112</v>
      </c>
      <c r="B109" s="16" t="s">
        <v>113</v>
      </c>
      <c r="C109" s="17">
        <v>20</v>
      </c>
      <c r="D109" s="18">
        <f t="shared" si="2"/>
        <v>0.4994063604240282</v>
      </c>
    </row>
    <row r="110" spans="1:4" x14ac:dyDescent="0.2">
      <c r="A110" s="15" t="s">
        <v>110</v>
      </c>
      <c r="B110" s="16" t="s">
        <v>111</v>
      </c>
      <c r="C110" s="17">
        <f>45/2</f>
        <v>22.5</v>
      </c>
      <c r="D110" s="18">
        <f t="shared" si="2"/>
        <v>0.56183215547703169</v>
      </c>
    </row>
    <row r="111" spans="1:4" x14ac:dyDescent="0.2">
      <c r="A111" s="15" t="s">
        <v>114</v>
      </c>
      <c r="B111" s="16" t="s">
        <v>115</v>
      </c>
      <c r="C111" s="17">
        <v>18</v>
      </c>
      <c r="D111" s="18">
        <f t="shared" si="2"/>
        <v>0.44946572438162541</v>
      </c>
    </row>
    <row r="112" spans="1:4" x14ac:dyDescent="0.2">
      <c r="A112" s="15" t="s">
        <v>110</v>
      </c>
      <c r="B112" s="16" t="s">
        <v>111</v>
      </c>
      <c r="C112" s="17">
        <v>30</v>
      </c>
      <c r="D112" s="18">
        <f t="shared" si="2"/>
        <v>0.74910954063604229</v>
      </c>
    </row>
    <row r="113" spans="1:4" x14ac:dyDescent="0.2">
      <c r="A113" s="15" t="s">
        <v>114</v>
      </c>
      <c r="B113" s="16" t="s">
        <v>116</v>
      </c>
      <c r="C113" s="17">
        <v>770</v>
      </c>
      <c r="D113" s="18">
        <f t="shared" si="2"/>
        <v>19.227144876325085</v>
      </c>
    </row>
    <row r="114" spans="1:4" x14ac:dyDescent="0.2">
      <c r="A114" s="15" t="s">
        <v>114</v>
      </c>
      <c r="B114" s="16" t="s">
        <v>117</v>
      </c>
      <c r="C114" s="17">
        <v>670</v>
      </c>
      <c r="D114" s="18">
        <f t="shared" si="2"/>
        <v>16.730113074204944</v>
      </c>
    </row>
    <row r="115" spans="1:4" x14ac:dyDescent="0.2">
      <c r="A115" s="15" t="s">
        <v>118</v>
      </c>
      <c r="B115" s="16" t="s">
        <v>119</v>
      </c>
      <c r="C115" s="17">
        <v>40</v>
      </c>
      <c r="D115" s="18">
        <f t="shared" si="2"/>
        <v>0.99881272084805639</v>
      </c>
    </row>
    <row r="116" spans="1:4" x14ac:dyDescent="0.2">
      <c r="A116" s="15" t="s">
        <v>110</v>
      </c>
      <c r="B116" s="16" t="s">
        <v>111</v>
      </c>
      <c r="C116" s="17">
        <v>15</v>
      </c>
      <c r="D116" s="18">
        <f t="shared" si="2"/>
        <v>0.37455477031802115</v>
      </c>
    </row>
    <row r="117" spans="1:4" x14ac:dyDescent="0.2">
      <c r="A117" s="15" t="s">
        <v>120</v>
      </c>
      <c r="B117" s="16" t="s">
        <v>121</v>
      </c>
      <c r="C117" s="17">
        <v>20</v>
      </c>
      <c r="D117" s="18">
        <f t="shared" si="2"/>
        <v>0.4994063604240282</v>
      </c>
    </row>
    <row r="118" spans="1:4" x14ac:dyDescent="0.2">
      <c r="A118" s="15" t="s">
        <v>122</v>
      </c>
      <c r="B118" s="16" t="s">
        <v>123</v>
      </c>
      <c r="C118" s="17">
        <f>4+10+4</f>
        <v>18</v>
      </c>
      <c r="D118" s="18">
        <f t="shared" si="2"/>
        <v>0.44946572438162541</v>
      </c>
    </row>
    <row r="119" spans="1:4" x14ac:dyDescent="0.2">
      <c r="A119" s="15" t="s">
        <v>120</v>
      </c>
      <c r="B119" s="16" t="s">
        <v>124</v>
      </c>
      <c r="C119" s="17">
        <v>15</v>
      </c>
      <c r="D119" s="18">
        <f t="shared" si="2"/>
        <v>0.37455477031802115</v>
      </c>
    </row>
    <row r="120" spans="1:4" x14ac:dyDescent="0.2">
      <c r="A120" s="15" t="s">
        <v>114</v>
      </c>
      <c r="B120" s="16" t="s">
        <v>125</v>
      </c>
      <c r="C120" s="17">
        <v>21</v>
      </c>
      <c r="D120" s="18">
        <f t="shared" si="2"/>
        <v>0.52437667844522962</v>
      </c>
    </row>
    <row r="121" spans="1:4" x14ac:dyDescent="0.2">
      <c r="A121" s="15" t="s">
        <v>110</v>
      </c>
      <c r="B121" s="16" t="s">
        <v>111</v>
      </c>
      <c r="C121" s="17">
        <v>15</v>
      </c>
      <c r="D121" s="18">
        <f t="shared" si="2"/>
        <v>0.37455477031802115</v>
      </c>
    </row>
    <row r="122" spans="1:4" x14ac:dyDescent="0.2">
      <c r="A122" s="15" t="s">
        <v>126</v>
      </c>
      <c r="B122" s="16" t="s">
        <v>127</v>
      </c>
      <c r="C122" s="17">
        <f>300/2</f>
        <v>150</v>
      </c>
      <c r="D122" s="18">
        <f t="shared" si="2"/>
        <v>3.7455477031802116</v>
      </c>
    </row>
    <row r="123" spans="1:4" x14ac:dyDescent="0.2">
      <c r="A123" s="15" t="s">
        <v>120</v>
      </c>
      <c r="B123" s="16" t="s">
        <v>128</v>
      </c>
      <c r="C123" s="17">
        <f>766/2</f>
        <v>383</v>
      </c>
      <c r="D123" s="18">
        <f t="shared" si="2"/>
        <v>9.5636318021201401</v>
      </c>
    </row>
    <row r="124" spans="1:4" x14ac:dyDescent="0.2">
      <c r="A124" s="15" t="s">
        <v>129</v>
      </c>
      <c r="B124" s="16" t="s">
        <v>130</v>
      </c>
      <c r="C124" s="17">
        <v>35</v>
      </c>
      <c r="D124" s="18">
        <f t="shared" si="2"/>
        <v>0.8739611307420494</v>
      </c>
    </row>
    <row r="125" spans="1:4" x14ac:dyDescent="0.2">
      <c r="A125" s="15" t="s">
        <v>129</v>
      </c>
      <c r="B125" s="16" t="s">
        <v>131</v>
      </c>
      <c r="C125" s="17">
        <v>20</v>
      </c>
      <c r="D125" s="18">
        <f t="shared" si="2"/>
        <v>0.4994063604240282</v>
      </c>
    </row>
    <row r="126" spans="1:4" x14ac:dyDescent="0.2">
      <c r="A126" s="15"/>
      <c r="B126" s="16"/>
      <c r="C126" s="17"/>
      <c r="D126" s="18"/>
    </row>
    <row r="127" spans="1:4" x14ac:dyDescent="0.2">
      <c r="A127" s="15"/>
      <c r="B127" s="16"/>
      <c r="C127" s="17"/>
      <c r="D127" s="18"/>
    </row>
    <row r="128" spans="1:4" ht="13.5" thickBot="1" x14ac:dyDescent="0.25">
      <c r="A128" s="19"/>
      <c r="B128" s="20"/>
      <c r="C128" s="21"/>
      <c r="D128" s="22"/>
    </row>
    <row r="129" spans="1:4" ht="14.25" thickTop="1" thickBot="1" x14ac:dyDescent="0.25">
      <c r="A129" s="23"/>
      <c r="B129" s="24" t="s">
        <v>132</v>
      </c>
      <c r="C129" s="48" t="s">
        <v>133</v>
      </c>
      <c r="D129" s="49">
        <f>SUM(D106:D128)</f>
        <v>59.229594346289737</v>
      </c>
    </row>
    <row r="130" spans="1:4" ht="14.25" thickTop="1" thickBot="1" x14ac:dyDescent="0.25">
      <c r="B130" s="4"/>
    </row>
    <row r="131" spans="1:4" ht="14.25" thickTop="1" thickBot="1" x14ac:dyDescent="0.25">
      <c r="A131" s="8" t="s">
        <v>6</v>
      </c>
      <c r="B131" s="9" t="s">
        <v>134</v>
      </c>
      <c r="C131" s="9" t="s">
        <v>8</v>
      </c>
      <c r="D131" s="10" t="s">
        <v>9</v>
      </c>
    </row>
    <row r="132" spans="1:4" ht="13.5" thickTop="1" x14ac:dyDescent="0.2">
      <c r="A132" s="11" t="s">
        <v>10</v>
      </c>
      <c r="B132" s="12" t="s">
        <v>135</v>
      </c>
      <c r="C132" s="13">
        <v>400</v>
      </c>
      <c r="D132" s="14">
        <f t="shared" ref="D132:D142" si="3">C132/$B$6</f>
        <v>9.9881272084805648</v>
      </c>
    </row>
    <row r="133" spans="1:4" x14ac:dyDescent="0.2">
      <c r="A133" s="15" t="s">
        <v>12</v>
      </c>
      <c r="B133" s="16" t="s">
        <v>136</v>
      </c>
      <c r="C133" s="17">
        <f>290/2</f>
        <v>145</v>
      </c>
      <c r="D133" s="18">
        <f t="shared" si="3"/>
        <v>3.6206961130742044</v>
      </c>
    </row>
    <row r="134" spans="1:4" x14ac:dyDescent="0.2">
      <c r="A134" s="15" t="s">
        <v>12</v>
      </c>
      <c r="B134" s="16" t="s">
        <v>137</v>
      </c>
      <c r="C134" s="17">
        <v>250</v>
      </c>
      <c r="D134" s="18">
        <f t="shared" si="3"/>
        <v>6.2425795053003528</v>
      </c>
    </row>
    <row r="135" spans="1:4" x14ac:dyDescent="0.2">
      <c r="A135" s="15" t="s">
        <v>12</v>
      </c>
      <c r="B135" s="16" t="s">
        <v>138</v>
      </c>
      <c r="C135" s="17">
        <v>850</v>
      </c>
      <c r="D135" s="18">
        <f t="shared" si="3"/>
        <v>21.2247703180212</v>
      </c>
    </row>
    <row r="136" spans="1:4" x14ac:dyDescent="0.2">
      <c r="A136" s="15" t="s">
        <v>15</v>
      </c>
      <c r="B136" s="16" t="s">
        <v>139</v>
      </c>
      <c r="C136" s="17">
        <f>20+50+20</f>
        <v>90</v>
      </c>
      <c r="D136" s="18">
        <f t="shared" si="3"/>
        <v>2.2473286219081268</v>
      </c>
    </row>
    <row r="137" spans="1:4" x14ac:dyDescent="0.2">
      <c r="A137" s="15" t="s">
        <v>15</v>
      </c>
      <c r="B137" s="16" t="s">
        <v>140</v>
      </c>
      <c r="C137" s="17">
        <v>40</v>
      </c>
      <c r="D137" s="18">
        <f t="shared" si="3"/>
        <v>0.99881272084805639</v>
      </c>
    </row>
    <row r="138" spans="1:4" x14ac:dyDescent="0.2">
      <c r="A138" s="15" t="s">
        <v>10</v>
      </c>
      <c r="B138" s="16" t="s">
        <v>141</v>
      </c>
      <c r="C138" s="17">
        <v>100</v>
      </c>
      <c r="D138" s="18">
        <f t="shared" si="3"/>
        <v>2.4970318021201412</v>
      </c>
    </row>
    <row r="139" spans="1:4" x14ac:dyDescent="0.2">
      <c r="A139" s="15" t="s">
        <v>18</v>
      </c>
      <c r="B139" s="16" t="s">
        <v>142</v>
      </c>
      <c r="C139" s="17">
        <v>150</v>
      </c>
      <c r="D139" s="18">
        <f t="shared" si="3"/>
        <v>3.7455477031802116</v>
      </c>
    </row>
    <row r="140" spans="1:4" x14ac:dyDescent="0.2">
      <c r="A140" s="15" t="s">
        <v>18</v>
      </c>
      <c r="B140" s="16" t="s">
        <v>143</v>
      </c>
      <c r="C140" s="17">
        <v>900</v>
      </c>
      <c r="D140" s="18">
        <f t="shared" si="3"/>
        <v>22.47328621908127</v>
      </c>
    </row>
    <row r="141" spans="1:4" x14ac:dyDescent="0.2">
      <c r="A141" s="15" t="s">
        <v>18</v>
      </c>
      <c r="B141" s="16" t="s">
        <v>144</v>
      </c>
      <c r="C141" s="17">
        <v>2100</v>
      </c>
      <c r="D141" s="18">
        <f t="shared" si="3"/>
        <v>52.437667844522963</v>
      </c>
    </row>
    <row r="142" spans="1:4" x14ac:dyDescent="0.2">
      <c r="A142" s="15" t="s">
        <v>145</v>
      </c>
      <c r="B142" s="16" t="s">
        <v>146</v>
      </c>
      <c r="C142" s="50">
        <f>1600/3</f>
        <v>533.33333333333337</v>
      </c>
      <c r="D142" s="18">
        <f t="shared" si="3"/>
        <v>13.317502944640752</v>
      </c>
    </row>
    <row r="143" spans="1:4" x14ac:dyDescent="0.2">
      <c r="A143" s="15"/>
      <c r="B143" s="16"/>
      <c r="C143" s="17"/>
      <c r="D143" s="18"/>
    </row>
    <row r="144" spans="1:4" ht="13.5" thickBot="1" x14ac:dyDescent="0.25">
      <c r="A144" s="19"/>
      <c r="B144" s="20"/>
      <c r="C144" s="21"/>
      <c r="D144" s="22"/>
    </row>
    <row r="145" spans="1:4" ht="14.25" thickTop="1" thickBot="1" x14ac:dyDescent="0.25">
      <c r="B145" s="45" t="s">
        <v>147</v>
      </c>
      <c r="C145" s="51" t="s">
        <v>148</v>
      </c>
      <c r="D145" s="52">
        <f>SUM(D132:D144)</f>
        <v>138.79335100117785</v>
      </c>
    </row>
    <row r="146" spans="1:4" ht="14.25" thickTop="1" thickBot="1" x14ac:dyDescent="0.25"/>
    <row r="147" spans="1:4" ht="14.25" thickTop="1" thickBot="1" x14ac:dyDescent="0.25">
      <c r="A147" s="8" t="s">
        <v>39</v>
      </c>
      <c r="B147" s="9"/>
      <c r="C147" s="9" t="s">
        <v>8</v>
      </c>
      <c r="D147" s="10" t="s">
        <v>9</v>
      </c>
    </row>
    <row r="148" spans="1:4" ht="13.5" thickTop="1" x14ac:dyDescent="0.2">
      <c r="A148" s="11" t="s">
        <v>10</v>
      </c>
      <c r="B148" s="12" t="s">
        <v>149</v>
      </c>
      <c r="C148" s="13">
        <f>(150+150+150+150+150)/2</f>
        <v>375</v>
      </c>
      <c r="D148" s="14">
        <f t="shared" ref="D148:D168" si="4">C148/$B$6</f>
        <v>9.3638692579505296</v>
      </c>
    </row>
    <row r="149" spans="1:4" x14ac:dyDescent="0.2">
      <c r="A149" s="15" t="s">
        <v>10</v>
      </c>
      <c r="B149" s="16" t="s">
        <v>150</v>
      </c>
      <c r="C149" s="17">
        <f>250/2</f>
        <v>125</v>
      </c>
      <c r="D149" s="18">
        <f t="shared" si="4"/>
        <v>3.1212897526501764</v>
      </c>
    </row>
    <row r="150" spans="1:4" x14ac:dyDescent="0.2">
      <c r="A150" s="15" t="s">
        <v>10</v>
      </c>
      <c r="B150" s="16" t="s">
        <v>151</v>
      </c>
      <c r="C150" s="17">
        <f>(50+180+80+55+158+49+50+150+100)/2</f>
        <v>436</v>
      </c>
      <c r="D150" s="18">
        <f t="shared" si="4"/>
        <v>10.887058657243815</v>
      </c>
    </row>
    <row r="151" spans="1:4" x14ac:dyDescent="0.2">
      <c r="A151" s="15" t="s">
        <v>10</v>
      </c>
      <c r="B151" s="16" t="s">
        <v>152</v>
      </c>
      <c r="C151" s="17">
        <f>2060/2</f>
        <v>1030</v>
      </c>
      <c r="D151" s="18">
        <f t="shared" si="4"/>
        <v>25.719427561837453</v>
      </c>
    </row>
    <row r="152" spans="1:4" x14ac:dyDescent="0.2">
      <c r="A152" s="15" t="s">
        <v>12</v>
      </c>
      <c r="B152" s="16" t="s">
        <v>153</v>
      </c>
      <c r="C152" s="17">
        <f>75/2</f>
        <v>37.5</v>
      </c>
      <c r="D152" s="18">
        <f t="shared" si="4"/>
        <v>0.93638692579505289</v>
      </c>
    </row>
    <row r="153" spans="1:4" x14ac:dyDescent="0.2">
      <c r="A153" s="15" t="s">
        <v>12</v>
      </c>
      <c r="B153" s="16" t="s">
        <v>154</v>
      </c>
      <c r="C153" s="17">
        <f>800/2</f>
        <v>400</v>
      </c>
      <c r="D153" s="18">
        <f t="shared" si="4"/>
        <v>9.9881272084805648</v>
      </c>
    </row>
    <row r="154" spans="1:4" x14ac:dyDescent="0.2">
      <c r="A154" s="15" t="s">
        <v>12</v>
      </c>
      <c r="B154" s="16" t="s">
        <v>155</v>
      </c>
      <c r="C154" s="17">
        <f>(64+25)/2</f>
        <v>44.5</v>
      </c>
      <c r="D154" s="18">
        <f t="shared" si="4"/>
        <v>1.1111791519434628</v>
      </c>
    </row>
    <row r="155" spans="1:4" x14ac:dyDescent="0.2">
      <c r="A155" s="15" t="s">
        <v>12</v>
      </c>
      <c r="B155" s="16" t="s">
        <v>149</v>
      </c>
      <c r="C155" s="17">
        <f>150/2</f>
        <v>75</v>
      </c>
      <c r="D155" s="18">
        <f t="shared" si="4"/>
        <v>1.8727738515901058</v>
      </c>
    </row>
    <row r="156" spans="1:4" x14ac:dyDescent="0.2">
      <c r="A156" s="15" t="s">
        <v>12</v>
      </c>
      <c r="B156" s="16" t="s">
        <v>156</v>
      </c>
      <c r="C156" s="17">
        <f>75/2</f>
        <v>37.5</v>
      </c>
      <c r="D156" s="18">
        <f t="shared" si="4"/>
        <v>0.93638692579505289</v>
      </c>
    </row>
    <row r="157" spans="1:4" x14ac:dyDescent="0.2">
      <c r="A157" s="15" t="s">
        <v>10</v>
      </c>
      <c r="B157" s="16" t="s">
        <v>157</v>
      </c>
      <c r="C157" s="17">
        <f>45/2</f>
        <v>22.5</v>
      </c>
      <c r="D157" s="18">
        <f t="shared" si="4"/>
        <v>0.56183215547703169</v>
      </c>
    </row>
    <row r="158" spans="1:4" x14ac:dyDescent="0.2">
      <c r="A158" s="15" t="s">
        <v>10</v>
      </c>
      <c r="B158" s="16" t="s">
        <v>158</v>
      </c>
      <c r="C158" s="17">
        <v>25</v>
      </c>
      <c r="D158" s="18">
        <f t="shared" si="4"/>
        <v>0.6242579505300353</v>
      </c>
    </row>
    <row r="159" spans="1:4" x14ac:dyDescent="0.2">
      <c r="A159" s="15" t="s">
        <v>10</v>
      </c>
      <c r="B159" s="16" t="s">
        <v>159</v>
      </c>
      <c r="C159" s="17">
        <v>15</v>
      </c>
      <c r="D159" s="18">
        <f t="shared" si="4"/>
        <v>0.37455477031802115</v>
      </c>
    </row>
    <row r="160" spans="1:4" x14ac:dyDescent="0.2">
      <c r="A160" s="15" t="s">
        <v>10</v>
      </c>
      <c r="B160" s="16" t="s">
        <v>155</v>
      </c>
      <c r="C160" s="17">
        <f>(15+43)/2</f>
        <v>29</v>
      </c>
      <c r="D160" s="18">
        <f t="shared" si="4"/>
        <v>0.72413922261484087</v>
      </c>
    </row>
    <row r="161" spans="1:4" x14ac:dyDescent="0.2">
      <c r="A161" s="15" t="s">
        <v>160</v>
      </c>
      <c r="B161" s="16" t="s">
        <v>161</v>
      </c>
      <c r="C161" s="17">
        <v>1.5</v>
      </c>
      <c r="D161" s="18">
        <f t="shared" si="4"/>
        <v>3.7455477031802117E-2</v>
      </c>
    </row>
    <row r="162" spans="1:4" x14ac:dyDescent="0.2">
      <c r="A162" s="15" t="s">
        <v>18</v>
      </c>
      <c r="B162" s="16" t="s">
        <v>156</v>
      </c>
      <c r="C162" s="17">
        <f>25/2</f>
        <v>12.5</v>
      </c>
      <c r="D162" s="18">
        <f t="shared" si="4"/>
        <v>0.31212897526501765</v>
      </c>
    </row>
    <row r="163" spans="1:4" x14ac:dyDescent="0.2">
      <c r="A163" s="15" t="s">
        <v>18</v>
      </c>
      <c r="B163" s="16" t="s">
        <v>155</v>
      </c>
      <c r="C163" s="17">
        <f>(14+39)/2</f>
        <v>26.5</v>
      </c>
      <c r="D163" s="18">
        <f t="shared" si="4"/>
        <v>0.66171342756183738</v>
      </c>
    </row>
    <row r="164" spans="1:4" x14ac:dyDescent="0.2">
      <c r="A164" s="15" t="s">
        <v>18</v>
      </c>
      <c r="B164" s="16" t="s">
        <v>162</v>
      </c>
      <c r="C164" s="17">
        <f>(1+19+15*6)/2</f>
        <v>55</v>
      </c>
      <c r="D164" s="18">
        <f t="shared" si="4"/>
        <v>1.3733674911660776</v>
      </c>
    </row>
    <row r="165" spans="1:4" x14ac:dyDescent="0.2">
      <c r="A165" s="15" t="s">
        <v>18</v>
      </c>
      <c r="B165" s="16" t="s">
        <v>156</v>
      </c>
      <c r="C165" s="17">
        <f>30/2</f>
        <v>15</v>
      </c>
      <c r="D165" s="18">
        <f t="shared" si="4"/>
        <v>0.37455477031802115</v>
      </c>
    </row>
    <row r="166" spans="1:4" x14ac:dyDescent="0.2">
      <c r="A166" s="15" t="s">
        <v>18</v>
      </c>
      <c r="B166" s="16" t="s">
        <v>149</v>
      </c>
      <c r="C166" s="17">
        <f>150/2</f>
        <v>75</v>
      </c>
      <c r="D166" s="18">
        <f t="shared" si="4"/>
        <v>1.8727738515901058</v>
      </c>
    </row>
    <row r="167" spans="1:4" x14ac:dyDescent="0.2">
      <c r="A167" s="15" t="s">
        <v>18</v>
      </c>
      <c r="B167" s="16" t="s">
        <v>163</v>
      </c>
      <c r="C167" s="17">
        <v>15</v>
      </c>
      <c r="D167" s="18">
        <f t="shared" si="4"/>
        <v>0.37455477031802115</v>
      </c>
    </row>
    <row r="168" spans="1:4" ht="13.5" thickBot="1" x14ac:dyDescent="0.25">
      <c r="A168" s="19" t="s">
        <v>164</v>
      </c>
      <c r="B168" s="20" t="s">
        <v>165</v>
      </c>
      <c r="C168" s="21">
        <v>100</v>
      </c>
      <c r="D168" s="18">
        <f t="shared" si="4"/>
        <v>2.4970318021201412</v>
      </c>
    </row>
    <row r="169" spans="1:4" ht="14.25" thickTop="1" thickBot="1" x14ac:dyDescent="0.25">
      <c r="B169" s="45" t="s">
        <v>166</v>
      </c>
      <c r="C169" s="53" t="s">
        <v>167</v>
      </c>
      <c r="D169" s="54">
        <f>SUM(D148:D168)</f>
        <v>73.724863957597179</v>
      </c>
    </row>
    <row r="170" spans="1:4" ht="13.5" thickTop="1" x14ac:dyDescent="0.2"/>
  </sheetData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Thailande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Elise et Kevin</dc:creator>
  <cp:lastModifiedBy>Elise et Kevin</cp:lastModifiedBy>
  <dcterms:created xsi:type="dcterms:W3CDTF">2013-01-31T13:19:29Z</dcterms:created>
  <dcterms:modified xsi:type="dcterms:W3CDTF">2013-02-01T04:14:52Z</dcterms:modified>
</cp:coreProperties>
</file>