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a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97" i="1" l="1"/>
  <c r="F96" i="1"/>
  <c r="F95" i="1"/>
  <c r="F94" i="1"/>
  <c r="E93" i="1"/>
  <c r="F93" i="1" s="1"/>
  <c r="F98" i="1" s="1"/>
  <c r="J32" i="1" s="1"/>
  <c r="F92" i="1"/>
  <c r="F88" i="1"/>
  <c r="F87" i="1"/>
  <c r="F86" i="1"/>
  <c r="F85" i="1"/>
  <c r="F84" i="1"/>
  <c r="F83" i="1"/>
  <c r="F89" i="1" s="1"/>
  <c r="J31" i="1" s="1"/>
  <c r="F82" i="1"/>
  <c r="F78" i="1"/>
  <c r="F77" i="1"/>
  <c r="F76" i="1"/>
  <c r="F75" i="1"/>
  <c r="F74" i="1"/>
  <c r="F73" i="1"/>
  <c r="F72" i="1"/>
  <c r="F71" i="1"/>
  <c r="F70" i="1"/>
  <c r="F69" i="1"/>
  <c r="C68" i="1"/>
  <c r="F68" i="1" s="1"/>
  <c r="F79" i="1" s="1"/>
  <c r="J30" i="1" s="1"/>
  <c r="F62" i="1"/>
  <c r="E62" i="1"/>
  <c r="F61" i="1"/>
  <c r="E60" i="1"/>
  <c r="F60" i="1" s="1"/>
  <c r="E59" i="1"/>
  <c r="F59" i="1" s="1"/>
  <c r="E58" i="1"/>
  <c r="F58" i="1" s="1"/>
  <c r="F57" i="1"/>
  <c r="F56" i="1"/>
  <c r="F55" i="1"/>
  <c r="F54" i="1"/>
  <c r="E54" i="1"/>
  <c r="E53" i="1"/>
  <c r="F53" i="1" s="1"/>
  <c r="F52" i="1"/>
  <c r="F51" i="1"/>
  <c r="E50" i="1"/>
  <c r="F50" i="1" s="1"/>
  <c r="F49" i="1"/>
  <c r="E49" i="1"/>
  <c r="E48" i="1"/>
  <c r="F48" i="1" s="1"/>
  <c r="F47" i="1"/>
  <c r="E46" i="1"/>
  <c r="F46" i="1" s="1"/>
  <c r="E45" i="1"/>
  <c r="F45" i="1" s="1"/>
  <c r="F44" i="1"/>
  <c r="E43" i="1"/>
  <c r="F43" i="1" s="1"/>
  <c r="F42" i="1"/>
  <c r="F41" i="1"/>
  <c r="F40" i="1"/>
  <c r="J39" i="1"/>
  <c r="E39" i="1"/>
  <c r="F39" i="1" s="1"/>
  <c r="F38" i="1"/>
  <c r="F37" i="1"/>
  <c r="F36" i="1"/>
  <c r="E35" i="1"/>
  <c r="F35" i="1" s="1"/>
  <c r="J34" i="1"/>
  <c r="F34" i="1"/>
  <c r="E33" i="1"/>
  <c r="F33" i="1" s="1"/>
  <c r="F32" i="1"/>
  <c r="F31" i="1"/>
  <c r="E30" i="1"/>
  <c r="F30" i="1" s="1"/>
  <c r="F29" i="1"/>
  <c r="F28" i="1"/>
  <c r="F27" i="1"/>
  <c r="E26" i="1"/>
  <c r="F26" i="1" s="1"/>
  <c r="F25" i="1"/>
  <c r="E25" i="1"/>
  <c r="E24" i="1"/>
  <c r="F24" i="1" s="1"/>
  <c r="F23" i="1"/>
  <c r="E23" i="1"/>
  <c r="E22" i="1"/>
  <c r="F22" i="1" s="1"/>
  <c r="F16" i="1"/>
  <c r="F15" i="1"/>
  <c r="F14" i="1"/>
  <c r="F13" i="1"/>
  <c r="F17" i="1" s="1"/>
  <c r="F12" i="1"/>
  <c r="F11" i="1"/>
  <c r="F10" i="1"/>
  <c r="A1" i="1"/>
  <c r="J28" i="1" l="1"/>
  <c r="F65" i="1"/>
  <c r="J29" i="1" s="1"/>
  <c r="J27" i="1" l="1"/>
  <c r="J36" i="1" s="1"/>
  <c r="J40" i="1" s="1"/>
</calcChain>
</file>

<file path=xl/sharedStrings.xml><?xml version="1.0" encoding="utf-8"?>
<sst xmlns="http://schemas.openxmlformats.org/spreadsheetml/2006/main" count="202" uniqueCount="110">
  <si>
    <t>PAYS:</t>
  </si>
  <si>
    <t>Laos</t>
  </si>
  <si>
    <t>Nb jours:</t>
  </si>
  <si>
    <t>Arrivée le 29 Janvier (inclus) et départ le 15 Janvier (non inclus)</t>
  </si>
  <si>
    <t>Monnaie:</t>
  </si>
  <si>
    <t>Kip</t>
  </si>
  <si>
    <t>Taux de change (1€=):</t>
  </si>
  <si>
    <t>Taux de change (1€=$):</t>
  </si>
  <si>
    <t>Ville</t>
  </si>
  <si>
    <t>Hotel</t>
  </si>
  <si>
    <t>Prix/pers (THB)</t>
  </si>
  <si>
    <t>Prix/pers($)</t>
  </si>
  <si>
    <t>Prix/pers (devise)</t>
  </si>
  <si>
    <t>Prix/pers (€)</t>
  </si>
  <si>
    <t>Pakbeng</t>
  </si>
  <si>
    <t>Vathsana Guesthouse</t>
  </si>
  <si>
    <t>Luang-Prabang</t>
  </si>
  <si>
    <t>Thony II Guesthouse (4 nuits)</t>
  </si>
  <si>
    <t>Muang Nogoi Neua</t>
  </si>
  <si>
    <t>Saylom Guesthouse (3 nuits)</t>
  </si>
  <si>
    <t>Muang Khua</t>
  </si>
  <si>
    <t>Keophila Guesthouse II</t>
  </si>
  <si>
    <t>Phongsali</t>
  </si>
  <si>
    <t>Pinekham Douangnaly Guesthouse (2 nuits)</t>
  </si>
  <si>
    <t>Pinekham Douangnaly Guesthouse (3 nuits)</t>
  </si>
  <si>
    <t xml:space="preserve"> Manotham Guesthouse (2 nuits)</t>
  </si>
  <si>
    <t>Logement</t>
  </si>
  <si>
    <t>TOTAL Hotels</t>
  </si>
  <si>
    <t>Restaurant</t>
  </si>
  <si>
    <t>Happy Bar</t>
  </si>
  <si>
    <t>Petit déjeuner</t>
  </si>
  <si>
    <t>Casse croute midi</t>
  </si>
  <si>
    <t>Courses nouilles soir + thé</t>
  </si>
  <si>
    <t>Muffin - petit dej</t>
  </si>
  <si>
    <t>Coût par jour / personne (€):</t>
  </si>
  <si>
    <t>Bamboo Restaurant (midi)</t>
  </si>
  <si>
    <t>Total:</t>
  </si>
  <si>
    <t>Marché de nuit (soir)</t>
  </si>
  <si>
    <t>Logements:</t>
  </si>
  <si>
    <t>Stand Sandwich (matin)</t>
  </si>
  <si>
    <t>Repas:</t>
  </si>
  <si>
    <t>Stand Sandwich + muffin</t>
  </si>
  <si>
    <t>Transports:</t>
  </si>
  <si>
    <t>Excursions:</t>
  </si>
  <si>
    <t>Stand Sandwichs (matin + midi)</t>
  </si>
  <si>
    <t>Autres:</t>
  </si>
  <si>
    <t>VISA</t>
  </si>
  <si>
    <t>Nong Khiaw</t>
  </si>
  <si>
    <t>En-cas</t>
  </si>
  <si>
    <t>Muang Ngoi Neua</t>
  </si>
  <si>
    <t>Buffet (soir)</t>
  </si>
  <si>
    <t>Buffet (matin) + en-cas</t>
  </si>
  <si>
    <t>Prévisionnel</t>
  </si>
  <si>
    <t>Buffet (matin)</t>
  </si>
  <si>
    <t>Buffet (soir) + bière</t>
  </si>
  <si>
    <t>Repas (soir)</t>
  </si>
  <si>
    <t>Marché (petit dej + midi)</t>
  </si>
  <si>
    <t>Marché (petit dej) + cafés</t>
  </si>
  <si>
    <t>Marché midi + nouilles</t>
  </si>
  <si>
    <t>Provisions (petit dej)</t>
  </si>
  <si>
    <t>Achats fruits + petit dej</t>
  </si>
  <si>
    <t>Repas (soir Kevin)</t>
  </si>
  <si>
    <t>Marché (midi)</t>
  </si>
  <si>
    <t>Achats biscuits</t>
  </si>
  <si>
    <t>Repas superette soir</t>
  </si>
  <si>
    <t>Achats provisions marché (petit dej)</t>
  </si>
  <si>
    <t>Stand Nouilles Marché (midi)</t>
  </si>
  <si>
    <t>Route -&gt; Muang Khua</t>
  </si>
  <si>
    <t>Achats fruits</t>
  </si>
  <si>
    <t>Apero + dîner guesthouse</t>
  </si>
  <si>
    <t>Marché (provisions route -&gt; Dien Bien Phu) + petit dej</t>
  </si>
  <si>
    <t>Repas midi + bananes</t>
  </si>
  <si>
    <t>Repas</t>
  </si>
  <si>
    <t>TOTAL Repas</t>
  </si>
  <si>
    <t>Type</t>
  </si>
  <si>
    <t>Trajet</t>
  </si>
  <si>
    <t>Slow Boat</t>
  </si>
  <si>
    <t>Trajet Chiang Mai -&gt; Luang Prabang</t>
  </si>
  <si>
    <t>Minivan</t>
  </si>
  <si>
    <t>Luang Prabang -&gt; Nong Kiaw</t>
  </si>
  <si>
    <t>Bateau</t>
  </si>
  <si>
    <t>Nong Kiaw -&gt; Muang Ngoi Neua</t>
  </si>
  <si>
    <t>Muang Ngoi Neua -&gt; Muang Khua</t>
  </si>
  <si>
    <t>Sawngthaew</t>
  </si>
  <si>
    <t>Muang Khua -&gt; Pak Nam Noii</t>
  </si>
  <si>
    <t>Bus</t>
  </si>
  <si>
    <t>Pak Nam Noi -&gt; Phongsali</t>
  </si>
  <si>
    <t>Phongsali -&gt; Depart Trek A/R</t>
  </si>
  <si>
    <t>Phongsali -&gt; Gare routière</t>
  </si>
  <si>
    <t>Phongsali -&gt; Muang Khua</t>
  </si>
  <si>
    <t>Gare rtouière -&gt; Muang Khua</t>
  </si>
  <si>
    <t>Muang Khua -&gt; Dien Bien Phu</t>
  </si>
  <si>
    <t>Transports</t>
  </si>
  <si>
    <t>TOTAL Transports</t>
  </si>
  <si>
    <t>Excursion/Visites</t>
  </si>
  <si>
    <t>Wat Xien Thong</t>
  </si>
  <si>
    <t>That Chomsi</t>
  </si>
  <si>
    <t>Cascades - Truck</t>
  </si>
  <si>
    <t>Cascades - Entrée</t>
  </si>
  <si>
    <t>Droit randonnée (2 jours)</t>
  </si>
  <si>
    <t>Entrée Stuppa</t>
  </si>
  <si>
    <t>Trek 2 jours/ 1 nuit</t>
  </si>
  <si>
    <t>Excursions/Visites</t>
  </si>
  <si>
    <t>TOTAL Excursions</t>
  </si>
  <si>
    <t>Frais de retrait</t>
  </si>
  <si>
    <t>Achat cahier</t>
  </si>
  <si>
    <t>Internet</t>
  </si>
  <si>
    <t>Frais de change Kip / Dollars (fin déjour)</t>
  </si>
  <si>
    <t>Autres</t>
  </si>
  <si>
    <t>TOTAL 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</si>
</sst>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F5F2E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EE7"/>
        <bgColor indexed="64"/>
      </patternFill>
    </fill>
    <fill>
      <patternFill patternType="solid">
        <fgColor rgb="FFF5F2E3"/>
        <bgColor indexed="64"/>
      </patternFill>
    </fill>
    <fill>
      <patternFill patternType="solid">
        <fgColor rgb="FFD6D6AD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ck">
        <color rgb="FFD6D6AD"/>
      </left>
      <right/>
      <top style="thick">
        <color rgb="FFD6D6AD"/>
      </top>
      <bottom style="thick">
        <color rgb="FFD6D6AD"/>
      </bottom>
      <diagonal/>
    </border>
    <border>
      <left/>
      <right/>
      <top style="thick">
        <color rgb="FFD6D6AD"/>
      </top>
      <bottom style="thick">
        <color rgb="FFD6D6AD"/>
      </bottom>
      <diagonal/>
    </border>
    <border>
      <left/>
      <right style="thick">
        <color rgb="FFD6D6AD"/>
      </right>
      <top style="thick">
        <color rgb="FFD6D6AD"/>
      </top>
      <bottom style="thick">
        <color rgb="FFD6D6AD"/>
      </bottom>
      <diagonal/>
    </border>
    <border>
      <left style="thick">
        <color rgb="FFD6D6AD"/>
      </left>
      <right/>
      <top style="thick">
        <color rgb="FFD6D6AD"/>
      </top>
      <bottom/>
      <diagonal/>
    </border>
    <border>
      <left/>
      <right/>
      <top style="thick">
        <color rgb="FFD6D6AD"/>
      </top>
      <bottom/>
      <diagonal/>
    </border>
    <border>
      <left/>
      <right style="thick">
        <color rgb="FFD6D6AD"/>
      </right>
      <top style="thick">
        <color rgb="FFD6D6AD"/>
      </top>
      <bottom/>
      <diagonal/>
    </border>
    <border>
      <left style="thick">
        <color rgb="FFD6D6AD"/>
      </left>
      <right/>
      <top/>
      <bottom/>
      <diagonal/>
    </border>
    <border>
      <left/>
      <right style="thick">
        <color rgb="FFD6D6AD"/>
      </right>
      <top/>
      <bottom/>
      <diagonal/>
    </border>
    <border>
      <left style="thick">
        <color rgb="FFD6D6AD"/>
      </left>
      <right/>
      <top/>
      <bottom style="thick">
        <color rgb="FFD6D6AD"/>
      </bottom>
      <diagonal/>
    </border>
    <border>
      <left/>
      <right/>
      <top/>
      <bottom style="thick">
        <color rgb="FFD6D6AD"/>
      </bottom>
      <diagonal/>
    </border>
    <border>
      <left/>
      <right style="thick">
        <color rgb="FFD6D6AD"/>
      </right>
      <top/>
      <bottom style="thick">
        <color rgb="FFD6D6AD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2" tint="-0.499984740745262"/>
      </right>
      <top/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 style="dotted">
        <color indexed="64"/>
      </bottom>
      <diagonal/>
    </border>
    <border>
      <left style="medium">
        <color theme="2" tint="-0.499984740745262"/>
      </left>
      <right/>
      <top style="dotted">
        <color indexed="64"/>
      </top>
      <bottom style="medium">
        <color theme="2" tint="-0.499984740745262"/>
      </bottom>
      <diagonal/>
    </border>
    <border>
      <left/>
      <right/>
      <top style="dotted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dotted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dotted">
        <color indexed="64"/>
      </bottom>
      <diagonal/>
    </border>
    <border>
      <left/>
      <right/>
      <top style="medium">
        <color theme="2" tint="-0.499984740745262"/>
      </top>
      <bottom style="dotted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dotted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4" fontId="0" fillId="2" borderId="0" xfId="0" applyNumberFormat="1" applyFill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/>
    <xf numFmtId="4" fontId="5" fillId="4" borderId="6" xfId="0" applyNumberFormat="1" applyFont="1" applyFill="1" applyBorder="1" applyAlignment="1">
      <alignment horizontal="center"/>
    </xf>
    <xf numFmtId="0" fontId="5" fillId="4" borderId="7" xfId="0" applyFont="1" applyFill="1" applyBorder="1"/>
    <xf numFmtId="0" fontId="5" fillId="4" borderId="0" xfId="0" applyFont="1" applyFill="1" applyBorder="1" applyAlignment="1">
      <alignment horizontal="center"/>
    </xf>
    <xf numFmtId="164" fontId="5" fillId="4" borderId="0" xfId="1" applyNumberFormat="1" applyFont="1" applyFill="1" applyBorder="1" applyAlignment="1">
      <alignment horizontal="center"/>
    </xf>
    <xf numFmtId="4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/>
    <xf numFmtId="0" fontId="5" fillId="4" borderId="10" xfId="0" applyFont="1" applyFill="1" applyBorder="1" applyAlignment="1">
      <alignment horizontal="center"/>
    </xf>
    <xf numFmtId="164" fontId="5" fillId="4" borderId="10" xfId="1" applyNumberFormat="1" applyFont="1" applyFill="1" applyBorder="1" applyAlignment="1">
      <alignment horizontal="center"/>
    </xf>
    <xf numFmtId="4" fontId="5" fillId="4" borderId="11" xfId="0" applyNumberFormat="1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4" fillId="3" borderId="9" xfId="0" applyFont="1" applyFill="1" applyBorder="1"/>
    <xf numFmtId="4" fontId="4" fillId="3" borderId="11" xfId="0" applyNumberFormat="1" applyFont="1" applyFill="1" applyBorder="1" applyAlignment="1">
      <alignment horizontal="center"/>
    </xf>
    <xf numFmtId="164" fontId="5" fillId="4" borderId="5" xfId="1" applyNumberFormat="1" applyFont="1" applyFill="1" applyBorder="1"/>
    <xf numFmtId="0" fontId="4" fillId="3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5" borderId="15" xfId="0" applyFont="1" applyFill="1" applyBorder="1"/>
    <xf numFmtId="0" fontId="4" fillId="5" borderId="16" xfId="0" applyFont="1" applyFill="1" applyBorder="1"/>
    <xf numFmtId="2" fontId="4" fillId="5" borderId="17" xfId="0" applyNumberFormat="1" applyFont="1" applyFill="1" applyBorder="1" applyAlignment="1">
      <alignment horizontal="center"/>
    </xf>
    <xf numFmtId="0" fontId="5" fillId="4" borderId="18" xfId="0" applyFont="1" applyFill="1" applyBorder="1"/>
    <xf numFmtId="0" fontId="5" fillId="4" borderId="19" xfId="0" applyFont="1" applyFill="1" applyBorder="1" applyAlignment="1">
      <alignment horizontal="right"/>
    </xf>
    <xf numFmtId="2" fontId="5" fillId="4" borderId="20" xfId="0" applyNumberFormat="1" applyFont="1" applyFill="1" applyBorder="1" applyAlignment="1">
      <alignment horizontal="left"/>
    </xf>
    <xf numFmtId="0" fontId="5" fillId="4" borderId="21" xfId="0" applyFont="1" applyFill="1" applyBorder="1"/>
    <xf numFmtId="0" fontId="5" fillId="4" borderId="22" xfId="0" applyFont="1" applyFill="1" applyBorder="1" applyAlignment="1">
      <alignment horizontal="right"/>
    </xf>
    <xf numFmtId="2" fontId="5" fillId="4" borderId="23" xfId="0" applyNumberFormat="1" applyFont="1" applyFill="1" applyBorder="1" applyAlignment="1">
      <alignment horizontal="left"/>
    </xf>
    <xf numFmtId="0" fontId="5" fillId="4" borderId="22" xfId="0" applyFont="1" applyFill="1" applyBorder="1"/>
    <xf numFmtId="0" fontId="5" fillId="4" borderId="24" xfId="0" applyFont="1" applyFill="1" applyBorder="1"/>
    <xf numFmtId="0" fontId="5" fillId="4" borderId="25" xfId="0" applyFont="1" applyFill="1" applyBorder="1" applyAlignment="1">
      <alignment horizontal="right"/>
    </xf>
    <xf numFmtId="2" fontId="5" fillId="4" borderId="26" xfId="0" applyNumberFormat="1" applyFont="1" applyFill="1" applyBorder="1" applyAlignment="1">
      <alignment horizontal="left"/>
    </xf>
    <xf numFmtId="0" fontId="5" fillId="4" borderId="27" xfId="0" applyFont="1" applyFill="1" applyBorder="1"/>
    <xf numFmtId="0" fontId="5" fillId="4" borderId="28" xfId="0" applyFont="1" applyFill="1" applyBorder="1" applyAlignment="1">
      <alignment horizontal="right"/>
    </xf>
    <xf numFmtId="2" fontId="5" fillId="4" borderId="29" xfId="0" applyNumberFormat="1" applyFont="1" applyFill="1" applyBorder="1" applyAlignment="1">
      <alignment horizontal="left"/>
    </xf>
    <xf numFmtId="2" fontId="4" fillId="5" borderId="3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8" fillId="6" borderId="1" xfId="0" applyFont="1" applyFill="1" applyBorder="1"/>
    <xf numFmtId="4" fontId="8" fillId="6" borderId="3" xfId="0" applyNumberFormat="1" applyFont="1" applyFill="1" applyBorder="1" applyAlignment="1">
      <alignment horizontal="center"/>
    </xf>
    <xf numFmtId="4" fontId="5" fillId="4" borderId="5" xfId="0" applyNumberFormat="1" applyFont="1" applyFill="1" applyBorder="1" applyAlignment="1">
      <alignment horizontal="center"/>
    </xf>
    <xf numFmtId="4" fontId="5" fillId="4" borderId="0" xfId="0" applyNumberFormat="1" applyFont="1" applyFill="1" applyBorder="1" applyAlignment="1">
      <alignment horizontal="center"/>
    </xf>
    <xf numFmtId="164" fontId="5" fillId="4" borderId="10" xfId="1" applyNumberFormat="1" applyFont="1" applyFill="1" applyBorder="1"/>
    <xf numFmtId="0" fontId="4" fillId="4" borderId="1" xfId="0" applyFont="1" applyFill="1" applyBorder="1"/>
    <xf numFmtId="4" fontId="4" fillId="4" borderId="3" xfId="0" applyNumberFormat="1" applyFont="1" applyFill="1" applyBorder="1" applyAlignment="1">
      <alignment horizontal="center"/>
    </xf>
    <xf numFmtId="0" fontId="4" fillId="5" borderId="9" xfId="0" applyFont="1" applyFill="1" applyBorder="1"/>
    <xf numFmtId="4" fontId="4" fillId="5" borderId="11" xfId="0" applyNumberFormat="1" applyFont="1" applyFill="1" applyBorder="1" applyAlignment="1">
      <alignment horizontal="center"/>
    </xf>
    <xf numFmtId="164" fontId="5" fillId="4" borderId="0" xfId="1" applyNumberFormat="1" applyFont="1" applyFill="1" applyBorder="1"/>
    <xf numFmtId="0" fontId="8" fillId="7" borderId="1" xfId="0" applyFont="1" applyFill="1" applyBorder="1"/>
    <xf numFmtId="4" fontId="8" fillId="7" borderId="3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Laos!$A$1</c:f>
          <c:strCache>
            <c:ptCount val="1"/>
            <c:pt idx="0">
              <c:v>BUDGET Laos</c:v>
            </c:pt>
          </c:strCache>
        </c:strRef>
      </c:tx>
      <c:layout/>
      <c:overlay val="0"/>
      <c:txPr>
        <a:bodyPr/>
        <a:lstStyle/>
        <a:p>
          <a:pPr>
            <a:defRPr b="1" baseline="0">
              <a:solidFill>
                <a:schemeClr val="bg2">
                  <a:lumMod val="25000"/>
                </a:schemeClr>
              </a:solidFill>
            </a:defRPr>
          </a:pPr>
          <a:endParaRPr lang="fr-FR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5DEE7"/>
              </a:solidFill>
            </c:spPr>
          </c:dPt>
          <c:dPt>
            <c:idx val="1"/>
            <c:bubble3D val="0"/>
            <c:spPr>
              <a:solidFill>
                <a:srgbClr val="993366"/>
              </a:solidFill>
            </c:spPr>
          </c:dPt>
          <c:dPt>
            <c:idx val="2"/>
            <c:bubble3D val="0"/>
            <c:spPr>
              <a:solidFill>
                <a:srgbClr val="F5F2E3"/>
              </a:solidFill>
            </c:spPr>
          </c:dPt>
          <c:dPt>
            <c:idx val="3"/>
            <c:bubble3D val="0"/>
            <c:spPr>
              <a:solidFill>
                <a:srgbClr val="D6D6AD"/>
              </a:solidFill>
            </c:spPr>
          </c:dPt>
          <c:dPt>
            <c:idx val="4"/>
            <c:bubble3D val="0"/>
            <c:spPr>
              <a:solidFill>
                <a:srgbClr val="660066"/>
              </a:solidFill>
            </c:spPr>
          </c:dPt>
          <c:dLbls>
            <c:dLbl>
              <c:idx val="1"/>
              <c:layout>
                <c:manualLayout>
                  <c:x val="2.8271350696547546E-2"/>
                  <c:y val="2.60211643155912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2310720775287705E-2"/>
                  <c:y val="-5.35836866545527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09436320459945E-2"/>
                  <c:y val="-2.1228707443088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(Laos!$B$17,Laos!$B$65,Laos!$B$79,Laos!$B$89,Laos!$B$98)</c:f>
              <c:strCache>
                <c:ptCount val="5"/>
                <c:pt idx="0">
                  <c:v>Logement</c:v>
                </c:pt>
                <c:pt idx="1">
                  <c:v>Repas</c:v>
                </c:pt>
                <c:pt idx="2">
                  <c:v>Transports</c:v>
                </c:pt>
                <c:pt idx="3">
                  <c:v>Excursions/Visites</c:v>
                </c:pt>
                <c:pt idx="4">
                  <c:v>Autres</c:v>
                </c:pt>
              </c:strCache>
            </c:strRef>
          </c:cat>
          <c:val>
            <c:numRef>
              <c:f>(Laos!$F$17,Laos!$F$65,Laos!$F$79,Laos!$F$89,Laos!$F$98)</c:f>
              <c:numCache>
                <c:formatCode>#,##0.00</c:formatCode>
                <c:ptCount val="5"/>
                <c:pt idx="0">
                  <c:v>50.276683291721042</c:v>
                </c:pt>
                <c:pt idx="1">
                  <c:v>51.620760727000182</c:v>
                </c:pt>
                <c:pt idx="2">
                  <c:v>69.730377821078378</c:v>
                </c:pt>
                <c:pt idx="3">
                  <c:v>44.156141461932201</c:v>
                </c:pt>
                <c:pt idx="4">
                  <c:v>4.2814315158328649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5F2E3"/>
    </a:solidFill>
    <a:ln w="3175">
      <a:solidFill>
        <a:schemeClr val="bg2">
          <a:lumMod val="50000"/>
        </a:schemeClr>
      </a:solidFill>
      <a:prstDash val="solid"/>
    </a:ln>
    <a:effectLst>
      <a:softEdge rad="12700"/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142875</xdr:rowOff>
    </xdr:from>
    <xdr:to>
      <xdr:col>13</xdr:col>
      <xdr:colOff>381000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M/Suivi%20Budget%20par%20pa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aits"/>
      <sheetName val="Synhthèse"/>
      <sheetName val="Chine"/>
      <sheetName val="Mongolie"/>
      <sheetName val="Tibet"/>
      <sheetName val="Népal"/>
      <sheetName val="Inde"/>
      <sheetName val="Thailande"/>
      <sheetName val="Birmanie"/>
      <sheetName val="Laos"/>
      <sheetName val="Vietnam"/>
      <sheetName val="Cambodge"/>
      <sheetName val="Australie"/>
      <sheetName val="NZ"/>
      <sheetName val="Ile de Paques"/>
      <sheetName val="Chili"/>
      <sheetName val="Argentine"/>
      <sheetName val="Bolivie"/>
      <sheetName val="Perou"/>
      <sheetName val="Equat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>
            <v>40.047547618373763</v>
          </cell>
        </row>
      </sheetData>
      <sheetData sheetId="8"/>
      <sheetData sheetId="9">
        <row r="1">
          <cell r="A1" t="str">
            <v>BUDGET Laos</v>
          </cell>
        </row>
        <row r="17">
          <cell r="B17" t="str">
            <v>Logement</v>
          </cell>
          <cell r="F17">
            <v>50.276683291721042</v>
          </cell>
        </row>
        <row r="65">
          <cell r="B65" t="str">
            <v>Repas</v>
          </cell>
          <cell r="F65">
            <v>51.620760727000182</v>
          </cell>
        </row>
        <row r="79">
          <cell r="B79" t="str">
            <v>Transports</v>
          </cell>
          <cell r="F79">
            <v>69.730377821078378</v>
          </cell>
        </row>
        <row r="89">
          <cell r="B89" t="str">
            <v>Excursions/Visites</v>
          </cell>
          <cell r="F89">
            <v>44.156141461932201</v>
          </cell>
        </row>
        <row r="98">
          <cell r="B98" t="str">
            <v>Autres</v>
          </cell>
          <cell r="F98">
            <v>4.2814315158328649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/>
  </sheetViews>
  <sheetFormatPr baseColWidth="10" defaultRowHeight="12.75" x14ac:dyDescent="0.2"/>
  <cols>
    <col min="1" max="1" width="22" style="2" customWidth="1"/>
    <col min="2" max="2" width="45.140625" style="2" customWidth="1"/>
    <col min="3" max="4" width="16.85546875" style="2" customWidth="1"/>
    <col min="5" max="5" width="16.85546875" style="2" bestFit="1" customWidth="1"/>
    <col min="6" max="6" width="15.140625" style="4" customWidth="1"/>
    <col min="7" max="7" width="14.42578125" style="2" customWidth="1"/>
    <col min="8" max="16384" width="11.42578125" style="2"/>
  </cols>
  <sheetData>
    <row r="1" spans="1:7" x14ac:dyDescent="0.2">
      <c r="A1" s="1" t="str">
        <f>"BUDGET "&amp;B3</f>
        <v>BUDGET Laos</v>
      </c>
      <c r="E1" s="63"/>
      <c r="F1" s="64"/>
      <c r="G1" s="63"/>
    </row>
    <row r="3" spans="1:7" x14ac:dyDescent="0.2">
      <c r="A3" s="1" t="s">
        <v>0</v>
      </c>
      <c r="B3" s="3" t="s">
        <v>1</v>
      </c>
      <c r="C3" s="3"/>
      <c r="D3" s="3"/>
    </row>
    <row r="4" spans="1:7" x14ac:dyDescent="0.2">
      <c r="A4" s="1" t="s">
        <v>2</v>
      </c>
      <c r="B4" s="3">
        <v>17</v>
      </c>
      <c r="C4" s="3" t="s">
        <v>3</v>
      </c>
      <c r="D4" s="3"/>
    </row>
    <row r="5" spans="1:7" x14ac:dyDescent="0.2">
      <c r="A5" s="1" t="s">
        <v>4</v>
      </c>
      <c r="B5" s="5" t="s">
        <v>5</v>
      </c>
      <c r="C5" s="5"/>
      <c r="D5" s="5"/>
    </row>
    <row r="6" spans="1:7" x14ac:dyDescent="0.2">
      <c r="A6" s="1" t="s">
        <v>6</v>
      </c>
      <c r="B6" s="6">
        <v>10674</v>
      </c>
      <c r="C6" s="3"/>
      <c r="D6" s="3"/>
    </row>
    <row r="7" spans="1:7" x14ac:dyDescent="0.2">
      <c r="A7" s="1" t="s">
        <v>7</v>
      </c>
      <c r="B7" s="7">
        <v>1.3218000000000001</v>
      </c>
      <c r="C7" s="3"/>
      <c r="D7" s="3"/>
    </row>
    <row r="8" spans="1:7" ht="13.5" thickBot="1" x14ac:dyDescent="0.25"/>
    <row r="9" spans="1:7" ht="14.25" thickTop="1" thickBot="1" x14ac:dyDescent="0.25">
      <c r="A9" s="8" t="s">
        <v>8</v>
      </c>
      <c r="B9" s="9" t="s">
        <v>9</v>
      </c>
      <c r="C9" s="9" t="s">
        <v>10</v>
      </c>
      <c r="D9" s="9" t="s">
        <v>11</v>
      </c>
      <c r="E9" s="9" t="s">
        <v>12</v>
      </c>
      <c r="F9" s="10" t="s">
        <v>13</v>
      </c>
    </row>
    <row r="10" spans="1:7" ht="13.5" thickTop="1" x14ac:dyDescent="0.2">
      <c r="A10" s="11" t="s">
        <v>14</v>
      </c>
      <c r="B10" s="12" t="s">
        <v>15</v>
      </c>
      <c r="C10" s="12">
        <v>100</v>
      </c>
      <c r="D10" s="12"/>
      <c r="E10" s="13"/>
      <c r="F10" s="14">
        <f>C10/[1]Thailande!$B$6+Laos!D10/Laos!$B$7+Laos!E10/Laos!$B$6</f>
        <v>2.4970318021201412</v>
      </c>
    </row>
    <row r="11" spans="1:7" x14ac:dyDescent="0.2">
      <c r="A11" s="15" t="s">
        <v>16</v>
      </c>
      <c r="B11" s="16" t="s">
        <v>17</v>
      </c>
      <c r="C11" s="16"/>
      <c r="D11" s="16"/>
      <c r="E11" s="17">
        <v>140000</v>
      </c>
      <c r="F11" s="18">
        <f>C11/[1]Thailande!$B$6+Laos!D11/Laos!$B$7+Laos!E11/Laos!$B$6</f>
        <v>13.115982761851228</v>
      </c>
    </row>
    <row r="12" spans="1:7" x14ac:dyDescent="0.2">
      <c r="A12" s="15" t="s">
        <v>18</v>
      </c>
      <c r="B12" s="16" t="s">
        <v>19</v>
      </c>
      <c r="C12" s="16"/>
      <c r="D12" s="16"/>
      <c r="E12" s="17">
        <v>75000</v>
      </c>
      <c r="F12" s="18">
        <f>C12/[1]Thailande!$B$6+Laos!D12/Laos!$B$7+Laos!E12/Laos!$B$6</f>
        <v>7.0264193367060148</v>
      </c>
    </row>
    <row r="13" spans="1:7" x14ac:dyDescent="0.2">
      <c r="A13" s="15" t="s">
        <v>20</v>
      </c>
      <c r="B13" s="16" t="s">
        <v>21</v>
      </c>
      <c r="C13" s="16"/>
      <c r="D13" s="16"/>
      <c r="E13" s="17">
        <v>20000</v>
      </c>
      <c r="F13" s="18">
        <f>C13/[1]Thailande!$B$6+Laos!D13/Laos!$B$7+Laos!E13/Laos!$B$6</f>
        <v>1.8737118231216039</v>
      </c>
    </row>
    <row r="14" spans="1:7" x14ac:dyDescent="0.2">
      <c r="A14" s="15" t="s">
        <v>22</v>
      </c>
      <c r="B14" s="16" t="s">
        <v>23</v>
      </c>
      <c r="C14" s="16"/>
      <c r="D14" s="16"/>
      <c r="E14" s="17">
        <v>70000</v>
      </c>
      <c r="F14" s="18">
        <f>C14/[1]Thailande!$B$6+Laos!D14/Laos!$B$7+Laos!E14/Laos!$B$6</f>
        <v>6.5579913809256141</v>
      </c>
    </row>
    <row r="15" spans="1:7" x14ac:dyDescent="0.2">
      <c r="A15" s="15" t="s">
        <v>22</v>
      </c>
      <c r="B15" s="16" t="s">
        <v>24</v>
      </c>
      <c r="C15" s="16"/>
      <c r="D15" s="16"/>
      <c r="E15" s="17">
        <v>105000</v>
      </c>
      <c r="F15" s="18">
        <f>C15/[1]Thailande!$B$6+Laos!D15/Laos!$B$7+Laos!E15/Laos!$B$6</f>
        <v>9.8369870713884211</v>
      </c>
    </row>
    <row r="16" spans="1:7" ht="13.5" thickBot="1" x14ac:dyDescent="0.25">
      <c r="A16" s="19" t="s">
        <v>20</v>
      </c>
      <c r="B16" s="20" t="s">
        <v>25</v>
      </c>
      <c r="C16" s="20"/>
      <c r="D16" s="20"/>
      <c r="E16" s="21">
        <v>100000</v>
      </c>
      <c r="F16" s="22">
        <f>C16/[1]Thailande!$B$6+Laos!D16/Laos!$B$7+Laos!E16/Laos!$B$6</f>
        <v>9.3685591156080203</v>
      </c>
    </row>
    <row r="17" spans="1:10" ht="14.25" thickTop="1" thickBot="1" x14ac:dyDescent="0.25">
      <c r="A17" s="23"/>
      <c r="B17" s="24" t="s">
        <v>26</v>
      </c>
      <c r="C17" s="24"/>
      <c r="D17" s="24"/>
      <c r="E17" s="25" t="s">
        <v>27</v>
      </c>
      <c r="F17" s="26">
        <f>SUM(F10:F16)</f>
        <v>50.276683291721042</v>
      </c>
    </row>
    <row r="18" spans="1:10" ht="13.5" thickTop="1" x14ac:dyDescent="0.2">
      <c r="B18" s="4"/>
      <c r="C18" s="4"/>
      <c r="D18" s="4"/>
    </row>
    <row r="19" spans="1:10" x14ac:dyDescent="0.2">
      <c r="B19" s="4"/>
      <c r="C19" s="4"/>
      <c r="D19" s="4"/>
    </row>
    <row r="20" spans="1:10" ht="13.5" thickBot="1" x14ac:dyDescent="0.25">
      <c r="B20" s="4"/>
      <c r="C20" s="4"/>
      <c r="D20" s="4"/>
    </row>
    <row r="21" spans="1:10" ht="14.25" thickTop="1" thickBot="1" x14ac:dyDescent="0.25">
      <c r="A21" s="8" t="s">
        <v>8</v>
      </c>
      <c r="B21" s="9" t="s">
        <v>28</v>
      </c>
      <c r="C21" s="9" t="s">
        <v>10</v>
      </c>
      <c r="D21" s="9" t="s">
        <v>11</v>
      </c>
      <c r="E21" s="9" t="s">
        <v>12</v>
      </c>
      <c r="F21" s="10" t="s">
        <v>13</v>
      </c>
    </row>
    <row r="22" spans="1:10" ht="13.5" thickTop="1" x14ac:dyDescent="0.2">
      <c r="A22" s="11" t="s">
        <v>14</v>
      </c>
      <c r="B22" s="12" t="s">
        <v>29</v>
      </c>
      <c r="C22" s="12"/>
      <c r="D22" s="12"/>
      <c r="E22" s="27">
        <f>45000/2</f>
        <v>22500</v>
      </c>
      <c r="F22" s="14">
        <f>C22/[1]Thailande!$B$6+Laos!D22/Laos!$B$7+Laos!E22/Laos!$B$6</f>
        <v>2.1079258010118043</v>
      </c>
    </row>
    <row r="23" spans="1:10" x14ac:dyDescent="0.2">
      <c r="A23" s="15" t="s">
        <v>14</v>
      </c>
      <c r="B23" s="16" t="s">
        <v>30</v>
      </c>
      <c r="C23" s="16"/>
      <c r="D23" s="16"/>
      <c r="E23" s="17">
        <f>30000/2</f>
        <v>15000</v>
      </c>
      <c r="F23" s="18">
        <f>C23/[1]Thailande!$B$6+Laos!D23/Laos!$B$7+Laos!E23/Laos!$B$6</f>
        <v>1.4052838673412029</v>
      </c>
    </row>
    <row r="24" spans="1:10" x14ac:dyDescent="0.2">
      <c r="A24" s="15" t="s">
        <v>14</v>
      </c>
      <c r="B24" s="16" t="s">
        <v>31</v>
      </c>
      <c r="C24" s="16"/>
      <c r="D24" s="16"/>
      <c r="E24" s="17">
        <f>+(40000+5000)/2</f>
        <v>22500</v>
      </c>
      <c r="F24" s="18">
        <f>C24/[1]Thailande!$B$6+Laos!D24/Laos!$B$7+Laos!E24/Laos!$B$6</f>
        <v>2.1079258010118043</v>
      </c>
    </row>
    <row r="25" spans="1:10" ht="13.5" thickBot="1" x14ac:dyDescent="0.25">
      <c r="A25" s="15" t="s">
        <v>16</v>
      </c>
      <c r="B25" s="16" t="s">
        <v>32</v>
      </c>
      <c r="C25" s="16"/>
      <c r="D25" s="16"/>
      <c r="E25" s="17">
        <f>19000/2</f>
        <v>9500</v>
      </c>
      <c r="F25" s="18">
        <f>C25/[1]Thailande!$B$6+Laos!D25/Laos!$B$7+Laos!E25/Laos!$B$6</f>
        <v>0.89001311598276189</v>
      </c>
    </row>
    <row r="26" spans="1:10" ht="13.5" thickBot="1" x14ac:dyDescent="0.25">
      <c r="A26" s="15" t="s">
        <v>16</v>
      </c>
      <c r="B26" s="16" t="s">
        <v>33</v>
      </c>
      <c r="C26" s="16"/>
      <c r="D26" s="16"/>
      <c r="E26" s="17">
        <f>25000/2</f>
        <v>12500</v>
      </c>
      <c r="F26" s="18">
        <f>C26/[1]Thailande!$B$6+Laos!D26/Laos!$B$7+Laos!E26/Laos!$B$6</f>
        <v>1.1710698894510025</v>
      </c>
      <c r="H26" s="28" t="s">
        <v>34</v>
      </c>
      <c r="I26" s="29"/>
      <c r="J26" s="30"/>
    </row>
    <row r="27" spans="1:10" ht="13.5" thickBot="1" x14ac:dyDescent="0.25">
      <c r="A27" s="15" t="s">
        <v>16</v>
      </c>
      <c r="B27" s="16" t="s">
        <v>35</v>
      </c>
      <c r="C27" s="16"/>
      <c r="D27" s="16"/>
      <c r="E27" s="17">
        <v>12000</v>
      </c>
      <c r="F27" s="18">
        <f>C27/[1]Thailande!$B$6+Laos!D27/Laos!$B$7+Laos!E27/Laos!$B$6</f>
        <v>1.1242270938729624</v>
      </c>
      <c r="H27" s="31"/>
      <c r="I27" s="32" t="s">
        <v>36</v>
      </c>
      <c r="J27" s="33">
        <f>(F17+F65+F79+F89+F98)/$B$4</f>
        <v>12.945023224562629</v>
      </c>
    </row>
    <row r="28" spans="1:10" x14ac:dyDescent="0.2">
      <c r="A28" s="15" t="s">
        <v>16</v>
      </c>
      <c r="B28" s="16" t="s">
        <v>37</v>
      </c>
      <c r="C28" s="16"/>
      <c r="D28" s="16"/>
      <c r="E28" s="17">
        <v>15000</v>
      </c>
      <c r="F28" s="18">
        <f>C28/[1]Thailande!$B$6+Laos!D28/Laos!$B$7+Laos!E28/Laos!$B$6</f>
        <v>1.4052838673412029</v>
      </c>
      <c r="H28" s="34"/>
      <c r="I28" s="35" t="s">
        <v>38</v>
      </c>
      <c r="J28" s="36">
        <f>F17/B4</f>
        <v>2.9574519583365317</v>
      </c>
    </row>
    <row r="29" spans="1:10" x14ac:dyDescent="0.2">
      <c r="A29" s="15" t="s">
        <v>16</v>
      </c>
      <c r="B29" s="16" t="s">
        <v>39</v>
      </c>
      <c r="C29" s="16"/>
      <c r="D29" s="16"/>
      <c r="E29" s="17">
        <v>10000</v>
      </c>
      <c r="F29" s="18">
        <f>C29/[1]Thailande!$B$6+Laos!D29/Laos!$B$7+Laos!E29/Laos!$B$6</f>
        <v>0.93685591156080195</v>
      </c>
      <c r="H29" s="37"/>
      <c r="I29" s="38" t="s">
        <v>40</v>
      </c>
      <c r="J29" s="39">
        <f>F65/B4</f>
        <v>3.0365153368823634</v>
      </c>
    </row>
    <row r="30" spans="1:10" x14ac:dyDescent="0.2">
      <c r="A30" s="15" t="s">
        <v>16</v>
      </c>
      <c r="B30" s="16" t="s">
        <v>41</v>
      </c>
      <c r="C30" s="16"/>
      <c r="D30" s="16"/>
      <c r="E30" s="17">
        <f>15000/2</f>
        <v>7500</v>
      </c>
      <c r="F30" s="18">
        <f>C30/[1]Thailande!$B$6+Laos!D30/Laos!$B$7+Laos!E30/Laos!$B$6</f>
        <v>0.70264193367060146</v>
      </c>
      <c r="H30" s="37"/>
      <c r="I30" s="38" t="s">
        <v>42</v>
      </c>
      <c r="J30" s="39">
        <f>+F79/B4</f>
        <v>4.1017869306516692</v>
      </c>
    </row>
    <row r="31" spans="1:10" x14ac:dyDescent="0.2">
      <c r="A31" s="15" t="s">
        <v>16</v>
      </c>
      <c r="B31" s="16" t="s">
        <v>37</v>
      </c>
      <c r="C31" s="16"/>
      <c r="D31" s="16"/>
      <c r="E31" s="17">
        <v>5000</v>
      </c>
      <c r="F31" s="18">
        <f>C31/[1]Thailande!$B$6+Laos!D31/Laos!$B$7+Laos!E31/Laos!$B$6</f>
        <v>0.46842795578040097</v>
      </c>
      <c r="H31" s="37"/>
      <c r="I31" s="40" t="s">
        <v>43</v>
      </c>
      <c r="J31" s="39">
        <f>+F89/B4</f>
        <v>2.5974200859960117</v>
      </c>
    </row>
    <row r="32" spans="1:10" ht="13.5" thickBot="1" x14ac:dyDescent="0.25">
      <c r="A32" s="15" t="s">
        <v>16</v>
      </c>
      <c r="B32" s="16" t="s">
        <v>44</v>
      </c>
      <c r="C32" s="16"/>
      <c r="D32" s="16"/>
      <c r="E32" s="17">
        <v>22500</v>
      </c>
      <c r="F32" s="18">
        <f>C32/[1]Thailande!$B$6+Laos!D32/Laos!$B$7+Laos!E32/Laos!$B$6</f>
        <v>2.1079258010118043</v>
      </c>
      <c r="H32" s="41"/>
      <c r="I32" s="42" t="s">
        <v>45</v>
      </c>
      <c r="J32" s="43">
        <f>+F98/B4</f>
        <v>0.25184891269605086</v>
      </c>
    </row>
    <row r="33" spans="1:10" ht="13.5" thickBot="1" x14ac:dyDescent="0.25">
      <c r="A33" s="15" t="s">
        <v>16</v>
      </c>
      <c r="B33" s="16" t="s">
        <v>37</v>
      </c>
      <c r="C33" s="16"/>
      <c r="D33" s="16"/>
      <c r="E33" s="17">
        <f>17000/2</f>
        <v>8500</v>
      </c>
      <c r="F33" s="18">
        <f>C33/[1]Thailande!$B$6+Laos!D33/Laos!$B$7+Laos!E33/Laos!$B$6</f>
        <v>0.79632752482668168</v>
      </c>
    </row>
    <row r="34" spans="1:10" x14ac:dyDescent="0.2">
      <c r="A34" s="15" t="s">
        <v>16</v>
      </c>
      <c r="B34" s="16" t="s">
        <v>44</v>
      </c>
      <c r="C34" s="16"/>
      <c r="D34" s="16"/>
      <c r="E34" s="17">
        <v>20000</v>
      </c>
      <c r="F34" s="18">
        <f>C34/[1]Thailande!$B$6+Laos!D34/Laos!$B$7+Laos!E34/Laos!$B$6</f>
        <v>1.8737118231216039</v>
      </c>
      <c r="H34" s="44" t="s">
        <v>46</v>
      </c>
      <c r="I34" s="45"/>
      <c r="J34" s="46">
        <f>30/B7</f>
        <v>22.696323195642304</v>
      </c>
    </row>
    <row r="35" spans="1:10" ht="13.5" thickBot="1" x14ac:dyDescent="0.25">
      <c r="A35" s="15" t="s">
        <v>47</v>
      </c>
      <c r="B35" s="16" t="s">
        <v>48</v>
      </c>
      <c r="C35" s="16"/>
      <c r="D35" s="16"/>
      <c r="E35" s="17">
        <f>17000/2</f>
        <v>8500</v>
      </c>
      <c r="F35" s="18">
        <f>C35/[1]Thailande!$B$6+Laos!D35/Laos!$B$7+Laos!E35/Laos!$B$6</f>
        <v>0.79632752482668168</v>
      </c>
    </row>
    <row r="36" spans="1:10" ht="13.5" thickBot="1" x14ac:dyDescent="0.25">
      <c r="A36" s="15" t="s">
        <v>49</v>
      </c>
      <c r="B36" s="16" t="s">
        <v>50</v>
      </c>
      <c r="C36" s="16"/>
      <c r="D36" s="16"/>
      <c r="E36" s="17">
        <v>15000</v>
      </c>
      <c r="F36" s="18">
        <f>C36/[1]Thailande!$B$6+Laos!D36/Laos!$B$7+Laos!E36/Laos!$B$6</f>
        <v>1.4052838673412029</v>
      </c>
      <c r="H36" s="31"/>
      <c r="I36" s="32" t="s">
        <v>36</v>
      </c>
      <c r="J36" s="33">
        <f>J27*$B$4+J34</f>
        <v>242.76171801320697</v>
      </c>
    </row>
    <row r="37" spans="1:10" ht="13.5" thickBot="1" x14ac:dyDescent="0.25">
      <c r="A37" s="15" t="s">
        <v>49</v>
      </c>
      <c r="B37" s="16" t="s">
        <v>51</v>
      </c>
      <c r="C37" s="16"/>
      <c r="D37" s="16"/>
      <c r="E37" s="17">
        <v>23500</v>
      </c>
      <c r="F37" s="18">
        <f>C37/[1]Thailande!$B$6+Laos!D37/Laos!$B$7+Laos!E37/Laos!$B$6</f>
        <v>2.2016113921678846</v>
      </c>
    </row>
    <row r="38" spans="1:10" ht="13.5" thickBot="1" x14ac:dyDescent="0.25">
      <c r="A38" s="15" t="s">
        <v>49</v>
      </c>
      <c r="B38" s="16" t="s">
        <v>50</v>
      </c>
      <c r="C38" s="16"/>
      <c r="D38" s="16"/>
      <c r="E38" s="17">
        <v>7500</v>
      </c>
      <c r="F38" s="18">
        <f>C38/[1]Thailande!$B$6+Laos!D38/Laos!$B$7+Laos!E38/Laos!$B$6</f>
        <v>0.70264193367060146</v>
      </c>
      <c r="H38" s="28" t="s">
        <v>52</v>
      </c>
      <c r="I38" s="29"/>
      <c r="J38" s="30"/>
    </row>
    <row r="39" spans="1:10" ht="13.5" thickBot="1" x14ac:dyDescent="0.25">
      <c r="A39" s="15" t="s">
        <v>49</v>
      </c>
      <c r="B39" s="16" t="s">
        <v>53</v>
      </c>
      <c r="C39" s="16"/>
      <c r="D39" s="16"/>
      <c r="E39" s="17">
        <f>35000/2</f>
        <v>17500</v>
      </c>
      <c r="F39" s="18">
        <f>C39/[1]Thailande!$B$6+Laos!D39/Laos!$B$7+Laos!E39/Laos!$B$6</f>
        <v>1.6394978452314035</v>
      </c>
      <c r="H39" s="31"/>
      <c r="I39" s="32" t="s">
        <v>36</v>
      </c>
      <c r="J39" s="33">
        <f>30*B4</f>
        <v>510</v>
      </c>
    </row>
    <row r="40" spans="1:10" ht="13.5" thickBot="1" x14ac:dyDescent="0.25">
      <c r="A40" s="15" t="s">
        <v>49</v>
      </c>
      <c r="B40" s="16" t="s">
        <v>54</v>
      </c>
      <c r="C40" s="16"/>
      <c r="D40" s="16"/>
      <c r="E40" s="17">
        <v>25000</v>
      </c>
      <c r="F40" s="18">
        <f>C40/[1]Thailande!$B$6+Laos!D40/Laos!$B$7+Laos!E40/Laos!$B$6</f>
        <v>2.3421397789020051</v>
      </c>
      <c r="J40" s="47">
        <f>J39-J36</f>
        <v>267.23828198679303</v>
      </c>
    </row>
    <row r="41" spans="1:10" x14ac:dyDescent="0.2">
      <c r="A41" s="15" t="s">
        <v>49</v>
      </c>
      <c r="B41" s="16" t="s">
        <v>53</v>
      </c>
      <c r="C41" s="16"/>
      <c r="D41" s="16"/>
      <c r="E41" s="17">
        <v>15000</v>
      </c>
      <c r="F41" s="18">
        <f>C41/[1]Thailande!$B$6+Laos!D41/Laos!$B$7+Laos!E41/Laos!$B$6</f>
        <v>1.4052838673412029</v>
      </c>
    </row>
    <row r="42" spans="1:10" x14ac:dyDescent="0.2">
      <c r="A42" s="15" t="s">
        <v>20</v>
      </c>
      <c r="B42" s="16" t="s">
        <v>55</v>
      </c>
      <c r="C42" s="16"/>
      <c r="D42" s="16"/>
      <c r="E42" s="17">
        <v>10000</v>
      </c>
      <c r="F42" s="18">
        <f>C42/[1]Thailande!$B$6+Laos!D42/Laos!$B$7+Laos!E42/Laos!$B$6</f>
        <v>0.93685591156080195</v>
      </c>
    </row>
    <row r="43" spans="1:10" x14ac:dyDescent="0.2">
      <c r="A43" s="15" t="s">
        <v>20</v>
      </c>
      <c r="B43" s="16" t="s">
        <v>56</v>
      </c>
      <c r="C43" s="16"/>
      <c r="D43" s="16"/>
      <c r="E43" s="17">
        <f>(4000+6000+2000+4000)/2</f>
        <v>8000</v>
      </c>
      <c r="F43" s="18">
        <f>C43/[1]Thailande!$B$6+Laos!D43/Laos!$B$7+Laos!E43/Laos!$B$6</f>
        <v>0.74948472924864151</v>
      </c>
    </row>
    <row r="44" spans="1:10" x14ac:dyDescent="0.2">
      <c r="A44" s="15" t="s">
        <v>22</v>
      </c>
      <c r="B44" s="16" t="s">
        <v>55</v>
      </c>
      <c r="C44" s="16"/>
      <c r="D44" s="16"/>
      <c r="E44" s="17">
        <v>15000</v>
      </c>
      <c r="F44" s="18">
        <f>C44/[1]Thailande!$B$6+Laos!D44/Laos!$B$7+Laos!E44/Laos!$B$6</f>
        <v>1.4052838673412029</v>
      </c>
    </row>
    <row r="45" spans="1:10" x14ac:dyDescent="0.2">
      <c r="A45" s="15" t="s">
        <v>22</v>
      </c>
      <c r="B45" s="16" t="s">
        <v>57</v>
      </c>
      <c r="C45" s="16"/>
      <c r="D45" s="16"/>
      <c r="E45" s="17">
        <f>(6000+5000+4000+14000)/2</f>
        <v>14500</v>
      </c>
      <c r="F45" s="18">
        <f>C45/[1]Thailande!$B$6+Laos!D45/Laos!$B$7+Laos!E45/Laos!$B$6</f>
        <v>1.3584410717631628</v>
      </c>
    </row>
    <row r="46" spans="1:10" x14ac:dyDescent="0.2">
      <c r="A46" s="15" t="s">
        <v>22</v>
      </c>
      <c r="B46" s="16" t="s">
        <v>58</v>
      </c>
      <c r="C46" s="16"/>
      <c r="D46" s="16"/>
      <c r="E46" s="17">
        <f>(8000+5000+2000)/2</f>
        <v>7500</v>
      </c>
      <c r="F46" s="18">
        <f>C46/[1]Thailande!$B$6+Laos!D46/Laos!$B$7+Laos!E46/Laos!$B$6</f>
        <v>0.70264193367060146</v>
      </c>
    </row>
    <row r="47" spans="1:10" x14ac:dyDescent="0.2">
      <c r="A47" s="15" t="s">
        <v>22</v>
      </c>
      <c r="B47" s="16" t="s">
        <v>55</v>
      </c>
      <c r="C47" s="16"/>
      <c r="D47" s="16"/>
      <c r="E47" s="17">
        <v>15000</v>
      </c>
      <c r="F47" s="18">
        <f>C47/[1]Thailande!$B$6+Laos!D47/Laos!$B$7+Laos!E47/Laos!$B$6</f>
        <v>1.4052838673412029</v>
      </c>
    </row>
    <row r="48" spans="1:10" x14ac:dyDescent="0.2">
      <c r="A48" s="15" t="s">
        <v>22</v>
      </c>
      <c r="B48" s="16" t="s">
        <v>59</v>
      </c>
      <c r="C48" s="16"/>
      <c r="D48" s="16"/>
      <c r="E48" s="17">
        <f>(6000+2000+7000)/2</f>
        <v>7500</v>
      </c>
      <c r="F48" s="18">
        <f>C48/[1]Thailande!$B$6+Laos!D48/Laos!$B$7+Laos!E48/Laos!$B$6</f>
        <v>0.70264193367060146</v>
      </c>
    </row>
    <row r="49" spans="1:6" x14ac:dyDescent="0.2">
      <c r="A49" s="15" t="s">
        <v>22</v>
      </c>
      <c r="B49" s="16" t="s">
        <v>60</v>
      </c>
      <c r="C49" s="16"/>
      <c r="D49" s="16"/>
      <c r="E49" s="17">
        <f>(8000+7000+5000+10000)/2</f>
        <v>15000</v>
      </c>
      <c r="F49" s="18">
        <f>C49/[1]Thailande!$B$6+Laos!D49/Laos!$B$7+Laos!E49/Laos!$B$6</f>
        <v>1.4052838673412029</v>
      </c>
    </row>
    <row r="50" spans="1:6" x14ac:dyDescent="0.2">
      <c r="A50" s="15" t="s">
        <v>22</v>
      </c>
      <c r="B50" s="16" t="s">
        <v>61</v>
      </c>
      <c r="C50" s="16"/>
      <c r="D50" s="16"/>
      <c r="E50" s="17">
        <f>15000/2</f>
        <v>7500</v>
      </c>
      <c r="F50" s="18">
        <f>C50/[1]Thailande!$B$6+Laos!D50/Laos!$B$7+Laos!E50/Laos!$B$6</f>
        <v>0.70264193367060146</v>
      </c>
    </row>
    <row r="51" spans="1:6" x14ac:dyDescent="0.2">
      <c r="A51" s="15" t="s">
        <v>22</v>
      </c>
      <c r="B51" s="16" t="s">
        <v>62</v>
      </c>
      <c r="C51" s="16"/>
      <c r="D51" s="16"/>
      <c r="E51" s="17">
        <v>4000</v>
      </c>
      <c r="F51" s="18">
        <f>C51/[1]Thailande!$B$6+Laos!D51/Laos!$B$7+Laos!E51/Laos!$B$6</f>
        <v>0.37474236462432076</v>
      </c>
    </row>
    <row r="52" spans="1:6" x14ac:dyDescent="0.2">
      <c r="A52" s="15" t="s">
        <v>22</v>
      </c>
      <c r="B52" s="16" t="s">
        <v>63</v>
      </c>
      <c r="C52" s="16"/>
      <c r="D52" s="16"/>
      <c r="E52" s="17">
        <v>10000</v>
      </c>
      <c r="F52" s="18">
        <f>C52/[1]Thailande!$B$6+Laos!D52/Laos!$B$7+Laos!E52/Laos!$B$6</f>
        <v>0.93685591156080195</v>
      </c>
    </row>
    <row r="53" spans="1:6" x14ac:dyDescent="0.2">
      <c r="A53" s="15" t="s">
        <v>22</v>
      </c>
      <c r="B53" s="16" t="s">
        <v>64</v>
      </c>
      <c r="C53" s="16"/>
      <c r="D53" s="16"/>
      <c r="E53" s="17">
        <f>15000/2</f>
        <v>7500</v>
      </c>
      <c r="F53" s="18">
        <f>C53/[1]Thailande!$B$6+Laos!D53/Laos!$B$7+Laos!E53/Laos!$B$6</f>
        <v>0.70264193367060146</v>
      </c>
    </row>
    <row r="54" spans="1:6" x14ac:dyDescent="0.2">
      <c r="A54" s="15" t="s">
        <v>22</v>
      </c>
      <c r="B54" s="16" t="s">
        <v>65</v>
      </c>
      <c r="C54" s="16"/>
      <c r="D54" s="16"/>
      <c r="E54" s="17">
        <f>(11000+6000+2000+4000+2000)/2</f>
        <v>12500</v>
      </c>
      <c r="F54" s="18">
        <f>C54/[1]Thailande!$B$6+Laos!D54/Laos!$B$7+Laos!E54/Laos!$B$6</f>
        <v>1.1710698894510025</v>
      </c>
    </row>
    <row r="55" spans="1:6" x14ac:dyDescent="0.2">
      <c r="A55" s="15" t="s">
        <v>22</v>
      </c>
      <c r="B55" s="16" t="s">
        <v>66</v>
      </c>
      <c r="C55" s="16"/>
      <c r="D55" s="16"/>
      <c r="E55" s="17">
        <v>8000</v>
      </c>
      <c r="F55" s="18">
        <f>C55/[1]Thailande!$B$6+Laos!D55/Laos!$B$7+Laos!E55/Laos!$B$6</f>
        <v>0.74948472924864151</v>
      </c>
    </row>
    <row r="56" spans="1:6" x14ac:dyDescent="0.2">
      <c r="A56" s="15" t="s">
        <v>22</v>
      </c>
      <c r="B56" s="16" t="s">
        <v>55</v>
      </c>
      <c r="C56" s="16"/>
      <c r="D56" s="16"/>
      <c r="E56" s="17">
        <v>20000</v>
      </c>
      <c r="F56" s="18">
        <f>C56/[1]Thailande!$B$6+Laos!D56/Laos!$B$7+Laos!E56/Laos!$B$6</f>
        <v>1.8737118231216039</v>
      </c>
    </row>
    <row r="57" spans="1:6" x14ac:dyDescent="0.2">
      <c r="A57" s="15" t="s">
        <v>67</v>
      </c>
      <c r="B57" s="16" t="s">
        <v>68</v>
      </c>
      <c r="C57" s="16"/>
      <c r="D57" s="16"/>
      <c r="E57" s="17">
        <v>1000</v>
      </c>
      <c r="F57" s="18">
        <f>C57/[1]Thailande!$B$6+Laos!D57/Laos!$B$7+Laos!E57/Laos!$B$6</f>
        <v>9.3685591156080189E-2</v>
      </c>
    </row>
    <row r="58" spans="1:6" x14ac:dyDescent="0.2">
      <c r="A58" s="15" t="s">
        <v>20</v>
      </c>
      <c r="B58" s="16" t="s">
        <v>69</v>
      </c>
      <c r="C58" s="16"/>
      <c r="D58" s="16"/>
      <c r="E58" s="17">
        <f>(10000+5000+50000)/2</f>
        <v>32500</v>
      </c>
      <c r="F58" s="18">
        <f>C58/[1]Thailande!$B$6+Laos!D58/Laos!$B$7+Laos!E58/Laos!$B$6</f>
        <v>3.0447817125726062</v>
      </c>
    </row>
    <row r="59" spans="1:6" x14ac:dyDescent="0.2">
      <c r="A59" s="15" t="s">
        <v>20</v>
      </c>
      <c r="B59" s="16" t="s">
        <v>57</v>
      </c>
      <c r="C59" s="16"/>
      <c r="D59" s="16"/>
      <c r="E59" s="17">
        <f>(6000+4000)/2</f>
        <v>5000</v>
      </c>
      <c r="F59" s="18">
        <f>C59/[1]Thailande!$B$6+Laos!D59/Laos!$B$7+Laos!E59/Laos!$B$6</f>
        <v>0.46842795578040097</v>
      </c>
    </row>
    <row r="60" spans="1:6" x14ac:dyDescent="0.2">
      <c r="A60" s="15" t="s">
        <v>20</v>
      </c>
      <c r="B60" s="16" t="s">
        <v>70</v>
      </c>
      <c r="C60" s="16"/>
      <c r="D60" s="16"/>
      <c r="E60" s="17">
        <f>(6000+4000+10000+10000)/2</f>
        <v>15000</v>
      </c>
      <c r="F60" s="18">
        <f>C60/[1]Thailande!$B$6+Laos!D60/Laos!$B$7+Laos!E60/Laos!$B$6</f>
        <v>1.4052838673412029</v>
      </c>
    </row>
    <row r="61" spans="1:6" x14ac:dyDescent="0.2">
      <c r="A61" s="15" t="s">
        <v>20</v>
      </c>
      <c r="B61" s="16" t="s">
        <v>71</v>
      </c>
      <c r="C61" s="16"/>
      <c r="D61" s="16"/>
      <c r="E61" s="17">
        <v>11000</v>
      </c>
      <c r="F61" s="18">
        <f>C61/[1]Thailande!$B$6+Laos!D61/Laos!$B$7+Laos!E61/Laos!$B$6</f>
        <v>1.0305415027168821</v>
      </c>
    </row>
    <row r="62" spans="1:6" x14ac:dyDescent="0.2">
      <c r="A62" s="15" t="s">
        <v>20</v>
      </c>
      <c r="B62" s="16" t="s">
        <v>69</v>
      </c>
      <c r="C62" s="16"/>
      <c r="D62" s="16"/>
      <c r="E62" s="17">
        <f>(10000+50000)/2</f>
        <v>30000</v>
      </c>
      <c r="F62" s="18">
        <f>C62/[1]Thailande!$B$6+Laos!D62/Laos!$B$7+Laos!E62/Laos!$B$6</f>
        <v>2.8105677346824058</v>
      </c>
    </row>
    <row r="63" spans="1:6" x14ac:dyDescent="0.2">
      <c r="A63" s="15"/>
      <c r="B63" s="16"/>
      <c r="C63" s="16"/>
      <c r="D63" s="16"/>
      <c r="E63" s="17"/>
      <c r="F63" s="48"/>
    </row>
    <row r="64" spans="1:6" ht="13.5" thickBot="1" x14ac:dyDescent="0.25">
      <c r="A64" s="19"/>
      <c r="B64" s="20"/>
      <c r="C64" s="20"/>
      <c r="D64" s="20"/>
      <c r="E64" s="21"/>
      <c r="F64" s="49"/>
    </row>
    <row r="65" spans="1:6" ht="14.25" thickTop="1" thickBot="1" x14ac:dyDescent="0.25">
      <c r="B65" s="50" t="s">
        <v>72</v>
      </c>
      <c r="C65" s="50"/>
      <c r="D65" s="50"/>
      <c r="E65" s="51" t="s">
        <v>73</v>
      </c>
      <c r="F65" s="52">
        <f>SUM(F22:F64)</f>
        <v>51.620760727000182</v>
      </c>
    </row>
    <row r="66" spans="1:6" ht="14.25" thickTop="1" thickBot="1" x14ac:dyDescent="0.25">
      <c r="B66" s="4"/>
      <c r="C66" s="4"/>
      <c r="D66" s="4"/>
    </row>
    <row r="67" spans="1:6" ht="14.25" thickTop="1" thickBot="1" x14ac:dyDescent="0.25">
      <c r="A67" s="8" t="s">
        <v>74</v>
      </c>
      <c r="B67" s="9" t="s">
        <v>75</v>
      </c>
      <c r="C67" s="9" t="s">
        <v>10</v>
      </c>
      <c r="D67" s="9" t="s">
        <v>11</v>
      </c>
      <c r="E67" s="9" t="s">
        <v>12</v>
      </c>
      <c r="F67" s="10" t="s">
        <v>13</v>
      </c>
    </row>
    <row r="68" spans="1:6" ht="13.5" thickTop="1" x14ac:dyDescent="0.2">
      <c r="A68" s="11" t="s">
        <v>76</v>
      </c>
      <c r="B68" s="12" t="s">
        <v>77</v>
      </c>
      <c r="C68" s="53">
        <f>1600/3*2</f>
        <v>1066.6666666666667</v>
      </c>
      <c r="D68" s="12"/>
      <c r="E68" s="13"/>
      <c r="F68" s="14">
        <f>C68/[1]Thailande!$B$6+Laos!D68/Laos!$B$7+Laos!E68/Laos!$B$6</f>
        <v>26.635005889281505</v>
      </c>
    </row>
    <row r="69" spans="1:6" x14ac:dyDescent="0.2">
      <c r="A69" s="15" t="s">
        <v>78</v>
      </c>
      <c r="B69" s="16" t="s">
        <v>79</v>
      </c>
      <c r="C69" s="54"/>
      <c r="D69" s="16"/>
      <c r="E69" s="17">
        <v>60000</v>
      </c>
      <c r="F69" s="18">
        <f>C69/[1]Thailande!$B$6+Laos!D69/Laos!$B$7+Laos!E69/Laos!$B$6</f>
        <v>5.6211354693648117</v>
      </c>
    </row>
    <row r="70" spans="1:6" x14ac:dyDescent="0.2">
      <c r="A70" s="15" t="s">
        <v>80</v>
      </c>
      <c r="B70" s="16" t="s">
        <v>81</v>
      </c>
      <c r="C70" s="54"/>
      <c r="D70" s="16"/>
      <c r="E70" s="17">
        <v>25000</v>
      </c>
      <c r="F70" s="18">
        <f>C70/[1]Thailande!$B$6+Laos!D70/Laos!$B$7+Laos!E70/Laos!$B$6</f>
        <v>2.3421397789020051</v>
      </c>
    </row>
    <row r="71" spans="1:6" x14ac:dyDescent="0.2">
      <c r="A71" s="15" t="s">
        <v>80</v>
      </c>
      <c r="B71" s="16" t="s">
        <v>82</v>
      </c>
      <c r="C71" s="54"/>
      <c r="D71" s="16"/>
      <c r="E71" s="17">
        <v>125000</v>
      </c>
      <c r="F71" s="18">
        <f>C71/[1]Thailande!$B$6+Laos!D71/Laos!$B$7+Laos!E71/Laos!$B$6</f>
        <v>11.710698894510024</v>
      </c>
    </row>
    <row r="72" spans="1:6" x14ac:dyDescent="0.2">
      <c r="A72" s="15" t="s">
        <v>83</v>
      </c>
      <c r="B72" s="16" t="s">
        <v>84</v>
      </c>
      <c r="C72" s="54"/>
      <c r="D72" s="16"/>
      <c r="E72" s="17">
        <v>15000</v>
      </c>
      <c r="F72" s="18">
        <f>C72/[1]Thailande!$B$6+Laos!D72/Laos!$B$7+Laos!E72/Laos!$B$6</f>
        <v>1.4052838673412029</v>
      </c>
    </row>
    <row r="73" spans="1:6" x14ac:dyDescent="0.2">
      <c r="A73" s="15" t="s">
        <v>85</v>
      </c>
      <c r="B73" s="16" t="s">
        <v>86</v>
      </c>
      <c r="C73" s="54"/>
      <c r="D73" s="16"/>
      <c r="E73" s="17">
        <v>60000</v>
      </c>
      <c r="F73" s="18">
        <f>C73/[1]Thailande!$B$6+Laos!D73/Laos!$B$7+Laos!E73/Laos!$B$6</f>
        <v>5.6211354693648117</v>
      </c>
    </row>
    <row r="74" spans="1:6" x14ac:dyDescent="0.2">
      <c r="A74" s="15" t="s">
        <v>85</v>
      </c>
      <c r="B74" s="16" t="s">
        <v>87</v>
      </c>
      <c r="C74" s="54"/>
      <c r="D74" s="16"/>
      <c r="E74" s="17">
        <v>40000</v>
      </c>
      <c r="F74" s="18">
        <f>C74/[1]Thailande!$B$6+Laos!D74/Laos!$B$7+Laos!E74/Laos!$B$6</f>
        <v>3.7474236462432078</v>
      </c>
    </row>
    <row r="75" spans="1:6" x14ac:dyDescent="0.2">
      <c r="A75" s="15" t="s">
        <v>83</v>
      </c>
      <c r="B75" s="16" t="s">
        <v>88</v>
      </c>
      <c r="C75" s="54"/>
      <c r="D75" s="16"/>
      <c r="E75" s="17">
        <v>5000</v>
      </c>
      <c r="F75" s="18">
        <f>C75/[1]Thailande!$B$6+Laos!D75/Laos!$B$7+Laos!E75/Laos!$B$6</f>
        <v>0.46842795578040097</v>
      </c>
    </row>
    <row r="76" spans="1:6" x14ac:dyDescent="0.2">
      <c r="A76" s="15" t="s">
        <v>85</v>
      </c>
      <c r="B76" s="16" t="s">
        <v>89</v>
      </c>
      <c r="C76" s="16"/>
      <c r="D76" s="16"/>
      <c r="E76" s="17">
        <v>75000</v>
      </c>
      <c r="F76" s="18">
        <f>C76/[1]Thailande!$B$6+Laos!D76/Laos!$B$7+Laos!E76/Laos!$B$6</f>
        <v>7.0264193367060148</v>
      </c>
    </row>
    <row r="77" spans="1:6" x14ac:dyDescent="0.2">
      <c r="A77" s="15" t="s">
        <v>83</v>
      </c>
      <c r="B77" s="16" t="s">
        <v>90</v>
      </c>
      <c r="C77" s="16"/>
      <c r="D77" s="16"/>
      <c r="E77" s="17">
        <v>5000</v>
      </c>
      <c r="F77" s="18">
        <f>C77/[1]Thailande!$B$6+Laos!D77/Laos!$B$7+Laos!E77/Laos!$B$6</f>
        <v>0.46842795578040097</v>
      </c>
    </row>
    <row r="78" spans="1:6" ht="13.5" thickBot="1" x14ac:dyDescent="0.25">
      <c r="A78" s="19" t="s">
        <v>85</v>
      </c>
      <c r="B78" s="20" t="s">
        <v>91</v>
      </c>
      <c r="C78" s="20"/>
      <c r="D78" s="20"/>
      <c r="E78" s="55">
        <v>50000</v>
      </c>
      <c r="F78" s="22">
        <f>C78/[1]Thailande!$B$6+Laos!D78/Laos!$B$7+Laos!E78/Laos!$B$6</f>
        <v>4.6842795578040102</v>
      </c>
    </row>
    <row r="79" spans="1:6" ht="14.25" thickTop="1" thickBot="1" x14ac:dyDescent="0.25">
      <c r="A79" s="23"/>
      <c r="B79" s="24" t="s">
        <v>92</v>
      </c>
      <c r="C79" s="24"/>
      <c r="D79" s="24"/>
      <c r="E79" s="56" t="s">
        <v>93</v>
      </c>
      <c r="F79" s="57">
        <f>SUM(F68:F78)</f>
        <v>69.730377821078378</v>
      </c>
    </row>
    <row r="80" spans="1:6" ht="14.25" thickTop="1" thickBot="1" x14ac:dyDescent="0.25">
      <c r="B80" s="4"/>
      <c r="C80" s="4"/>
      <c r="D80" s="4"/>
    </row>
    <row r="81" spans="1:6" ht="14.25" thickTop="1" thickBot="1" x14ac:dyDescent="0.25">
      <c r="A81" s="8" t="s">
        <v>8</v>
      </c>
      <c r="B81" s="9" t="s">
        <v>94</v>
      </c>
      <c r="C81" s="9" t="s">
        <v>10</v>
      </c>
      <c r="D81" s="9" t="s">
        <v>11</v>
      </c>
      <c r="E81" s="9" t="s">
        <v>12</v>
      </c>
      <c r="F81" s="10" t="s">
        <v>13</v>
      </c>
    </row>
    <row r="82" spans="1:6" ht="13.5" thickTop="1" x14ac:dyDescent="0.2">
      <c r="A82" s="11" t="s">
        <v>16</v>
      </c>
      <c r="B82" s="12" t="s">
        <v>95</v>
      </c>
      <c r="C82" s="12"/>
      <c r="D82" s="12"/>
      <c r="E82" s="27">
        <v>20000</v>
      </c>
      <c r="F82" s="14">
        <f>C82/[1]Thailande!$B$6+Laos!D82/Laos!$B$7+Laos!E82/Laos!$B$6</f>
        <v>1.8737118231216039</v>
      </c>
    </row>
    <row r="83" spans="1:6" x14ac:dyDescent="0.2">
      <c r="A83" s="15" t="s">
        <v>16</v>
      </c>
      <c r="B83" s="16" t="s">
        <v>96</v>
      </c>
      <c r="C83" s="16">
        <v>80</v>
      </c>
      <c r="D83" s="16"/>
      <c r="E83" s="17"/>
      <c r="F83" s="18">
        <f>C83/[1]Thailande!$B$6+Laos!D83/Laos!$B$7+Laos!E83/Laos!$B$6</f>
        <v>1.9976254416961128</v>
      </c>
    </row>
    <row r="84" spans="1:6" x14ac:dyDescent="0.2">
      <c r="A84" s="15" t="s">
        <v>16</v>
      </c>
      <c r="B84" s="16" t="s">
        <v>97</v>
      </c>
      <c r="C84" s="16"/>
      <c r="D84" s="16"/>
      <c r="E84" s="17">
        <v>35000</v>
      </c>
      <c r="F84" s="18">
        <f>C84/[1]Thailande!$B$6+Laos!D84/Laos!$B$7+Laos!E84/Laos!$B$6</f>
        <v>3.278995690462807</v>
      </c>
    </row>
    <row r="85" spans="1:6" x14ac:dyDescent="0.2">
      <c r="A85" s="15" t="s">
        <v>16</v>
      </c>
      <c r="B85" s="16" t="s">
        <v>98</v>
      </c>
      <c r="C85" s="16"/>
      <c r="D85" s="16"/>
      <c r="E85" s="17">
        <v>20000</v>
      </c>
      <c r="F85" s="18">
        <f>C85/[1]Thailande!$B$6+Laos!D85/Laos!$B$7+Laos!E85/Laos!$B$6</f>
        <v>1.8737118231216039</v>
      </c>
    </row>
    <row r="86" spans="1:6" x14ac:dyDescent="0.2">
      <c r="A86" s="15" t="s">
        <v>49</v>
      </c>
      <c r="B86" s="16" t="s">
        <v>99</v>
      </c>
      <c r="C86" s="16"/>
      <c r="D86" s="16"/>
      <c r="E86" s="17">
        <v>20000</v>
      </c>
      <c r="F86" s="18">
        <f>C86/[1]Thailande!$B$6+Laos!D86/Laos!$B$7+Laos!E86/Laos!$B$6</f>
        <v>1.8737118231216039</v>
      </c>
    </row>
    <row r="87" spans="1:6" x14ac:dyDescent="0.2">
      <c r="A87" s="15" t="s">
        <v>22</v>
      </c>
      <c r="B87" s="16" t="s">
        <v>100</v>
      </c>
      <c r="C87" s="16"/>
      <c r="D87" s="16"/>
      <c r="E87" s="17">
        <v>5000</v>
      </c>
      <c r="F87" s="18">
        <f>C87/[1]Thailande!$B$6+Laos!D87/Laos!$B$7+Laos!E87/Laos!$B$6</f>
        <v>0.46842795578040097</v>
      </c>
    </row>
    <row r="88" spans="1:6" ht="13.5" thickBot="1" x14ac:dyDescent="0.25">
      <c r="A88" s="19" t="s">
        <v>22</v>
      </c>
      <c r="B88" s="20" t="s">
        <v>101</v>
      </c>
      <c r="C88" s="20"/>
      <c r="D88" s="20"/>
      <c r="E88" s="21">
        <v>350000</v>
      </c>
      <c r="F88" s="22">
        <f>C88/[1]Thailande!$B$6+Laos!D88/Laos!$B$7+Laos!E88/Laos!$B$6</f>
        <v>32.78995690462807</v>
      </c>
    </row>
    <row r="89" spans="1:6" ht="14.25" thickTop="1" thickBot="1" x14ac:dyDescent="0.25">
      <c r="B89" s="50" t="s">
        <v>102</v>
      </c>
      <c r="C89" s="50"/>
      <c r="D89" s="50"/>
      <c r="E89" s="58" t="s">
        <v>103</v>
      </c>
      <c r="F89" s="59">
        <f>SUM(F82:F88)</f>
        <v>44.156141461932201</v>
      </c>
    </row>
    <row r="90" spans="1:6" ht="14.25" thickTop="1" thickBot="1" x14ac:dyDescent="0.25"/>
    <row r="91" spans="1:6" ht="14.25" thickTop="1" thickBot="1" x14ac:dyDescent="0.25">
      <c r="A91" s="8" t="s">
        <v>45</v>
      </c>
      <c r="B91" s="9"/>
      <c r="C91" s="9" t="s">
        <v>10</v>
      </c>
      <c r="D91" s="9" t="s">
        <v>11</v>
      </c>
      <c r="E91" s="9" t="s">
        <v>12</v>
      </c>
      <c r="F91" s="10" t="s">
        <v>13</v>
      </c>
    </row>
    <row r="92" spans="1:6" ht="13.5" thickTop="1" x14ac:dyDescent="0.2">
      <c r="A92" s="11" t="s">
        <v>14</v>
      </c>
      <c r="B92" s="12" t="s">
        <v>104</v>
      </c>
      <c r="C92" s="12"/>
      <c r="D92" s="12"/>
      <c r="E92" s="27">
        <v>10000</v>
      </c>
      <c r="F92" s="14">
        <f>C92/[1]Thailande!$B$6+Laos!D92/Laos!$B$7+Laos!E92/Laos!$B$6</f>
        <v>0.93685591156080195</v>
      </c>
    </row>
    <row r="93" spans="1:6" x14ac:dyDescent="0.2">
      <c r="A93" s="15" t="s">
        <v>16</v>
      </c>
      <c r="B93" s="16" t="s">
        <v>104</v>
      </c>
      <c r="C93" s="16"/>
      <c r="D93" s="16"/>
      <c r="E93" s="60">
        <f>10000*2</f>
        <v>20000</v>
      </c>
      <c r="F93" s="18">
        <f>C93/[1]Thailande!$B$6+Laos!D93/Laos!$B$7+Laos!E93/Laos!$B$6</f>
        <v>1.8737118231216039</v>
      </c>
    </row>
    <row r="94" spans="1:6" x14ac:dyDescent="0.2">
      <c r="A94" s="15" t="s">
        <v>22</v>
      </c>
      <c r="B94" s="16" t="s">
        <v>105</v>
      </c>
      <c r="C94" s="16"/>
      <c r="D94" s="16"/>
      <c r="E94" s="60">
        <v>2500</v>
      </c>
      <c r="F94" s="18">
        <f>C94/[1]Thailande!$B$6+Laos!D94/Laos!$B$7+Laos!E94/Laos!$B$6</f>
        <v>0.23421397789020049</v>
      </c>
    </row>
    <row r="95" spans="1:6" x14ac:dyDescent="0.2">
      <c r="A95" s="15" t="s">
        <v>22</v>
      </c>
      <c r="B95" s="16" t="s">
        <v>104</v>
      </c>
      <c r="C95" s="16"/>
      <c r="D95" s="16"/>
      <c r="E95" s="60">
        <v>10000</v>
      </c>
      <c r="F95" s="18">
        <f>C95/[1]Thailande!$B$6+Laos!D95/Laos!$B$7+Laos!E95/Laos!$B$6</f>
        <v>0.93685591156080195</v>
      </c>
    </row>
    <row r="96" spans="1:6" x14ac:dyDescent="0.2">
      <c r="A96" s="15" t="s">
        <v>20</v>
      </c>
      <c r="B96" s="16" t="s">
        <v>106</v>
      </c>
      <c r="C96" s="16"/>
      <c r="D96" s="16"/>
      <c r="E96" s="60">
        <v>2500</v>
      </c>
      <c r="F96" s="18">
        <f>C96/[1]Thailande!$B$6+Laos!D96/Laos!$B$7+Laos!E96/Laos!$B$6</f>
        <v>0.23421397789020049</v>
      </c>
    </row>
    <row r="97" spans="1:6" ht="13.5" thickBot="1" x14ac:dyDescent="0.25">
      <c r="A97" s="19" t="s">
        <v>20</v>
      </c>
      <c r="B97" s="20" t="s">
        <v>107</v>
      </c>
      <c r="C97" s="20"/>
      <c r="D97" s="20"/>
      <c r="E97" s="55">
        <v>700</v>
      </c>
      <c r="F97" s="22">
        <f>C97/[1]Thailande!$B$6+Laos!D97/Laos!$B$7+Laos!E97/Laos!$B$6</f>
        <v>6.5579913809256138E-2</v>
      </c>
    </row>
    <row r="98" spans="1:6" ht="14.25" thickTop="1" thickBot="1" x14ac:dyDescent="0.25">
      <c r="B98" s="50" t="s">
        <v>108</v>
      </c>
      <c r="C98" s="50"/>
      <c r="D98" s="50"/>
      <c r="E98" s="61" t="s">
        <v>109</v>
      </c>
      <c r="F98" s="62">
        <f>SUM(F92:F97)</f>
        <v>4.2814315158328649</v>
      </c>
    </row>
    <row r="99" spans="1:6" ht="13.5" thickTop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Laos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et Kevin</dc:creator>
  <cp:lastModifiedBy>Elise et Kevin</cp:lastModifiedBy>
  <dcterms:created xsi:type="dcterms:W3CDTF">2013-02-17T14:05:50Z</dcterms:created>
  <dcterms:modified xsi:type="dcterms:W3CDTF">2013-02-17T14:06:42Z</dcterms:modified>
</cp:coreProperties>
</file>