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ambodg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05" i="1" l="1"/>
  <c r="C105" i="1"/>
  <c r="E104" i="1"/>
  <c r="C103" i="1"/>
  <c r="E103" i="1" s="1"/>
  <c r="E102" i="1"/>
  <c r="E93" i="1"/>
  <c r="E92" i="1"/>
  <c r="E91" i="1"/>
  <c r="E90" i="1"/>
  <c r="C89" i="1"/>
  <c r="E89" i="1" s="1"/>
  <c r="E88" i="1"/>
  <c r="E87" i="1"/>
  <c r="E86" i="1"/>
  <c r="E85" i="1"/>
  <c r="E84" i="1"/>
  <c r="E83" i="1"/>
  <c r="C83" i="1"/>
  <c r="E82" i="1"/>
  <c r="C82" i="1"/>
  <c r="E81" i="1"/>
  <c r="C81" i="1"/>
  <c r="E80" i="1"/>
  <c r="C80" i="1"/>
  <c r="E79" i="1"/>
  <c r="E99" i="1" s="1"/>
  <c r="E78" i="1"/>
  <c r="E77" i="1"/>
  <c r="E73" i="1"/>
  <c r="E72" i="1"/>
  <c r="E71" i="1"/>
  <c r="E70" i="1"/>
  <c r="E69" i="1"/>
  <c r="E68" i="1"/>
  <c r="E67" i="1"/>
  <c r="E66" i="1"/>
  <c r="E65" i="1"/>
  <c r="E74" i="1" s="1"/>
  <c r="C65" i="1"/>
  <c r="E60" i="1"/>
  <c r="E59" i="1"/>
  <c r="E58" i="1"/>
  <c r="E57" i="1"/>
  <c r="C56" i="1"/>
  <c r="E56" i="1" s="1"/>
  <c r="E55" i="1"/>
  <c r="E54" i="1"/>
  <c r="C54" i="1"/>
  <c r="E53" i="1"/>
  <c r="C53" i="1"/>
  <c r="E52" i="1"/>
  <c r="C52" i="1"/>
  <c r="E51" i="1"/>
  <c r="C51" i="1"/>
  <c r="C50" i="1"/>
  <c r="E50" i="1" s="1"/>
  <c r="I49" i="1"/>
  <c r="E49" i="1"/>
  <c r="D48" i="1"/>
  <c r="E48" i="1" s="1"/>
  <c r="E47" i="1"/>
  <c r="E46" i="1"/>
  <c r="E45" i="1"/>
  <c r="D45" i="1"/>
  <c r="I44" i="1"/>
  <c r="E44" i="1"/>
  <c r="E43" i="1"/>
  <c r="E42" i="1"/>
  <c r="C42" i="1"/>
  <c r="E41" i="1"/>
  <c r="E40" i="1"/>
  <c r="C39" i="1"/>
  <c r="E39" i="1" s="1"/>
  <c r="E38" i="1"/>
  <c r="C38" i="1"/>
  <c r="E37" i="1"/>
  <c r="E36" i="1"/>
  <c r="D36" i="1"/>
  <c r="E35" i="1"/>
  <c r="E34" i="1"/>
  <c r="E33" i="1"/>
  <c r="E32" i="1"/>
  <c r="E31" i="1"/>
  <c r="E30" i="1"/>
  <c r="E29" i="1"/>
  <c r="C28" i="1"/>
  <c r="E28" i="1" s="1"/>
  <c r="E27" i="1"/>
  <c r="E26" i="1"/>
  <c r="C25" i="1"/>
  <c r="E25" i="1" s="1"/>
  <c r="E24" i="1"/>
  <c r="E23" i="1"/>
  <c r="C23" i="1"/>
  <c r="E22" i="1"/>
  <c r="E21" i="1"/>
  <c r="E20" i="1"/>
  <c r="E62" i="1" s="1"/>
  <c r="C20" i="1"/>
  <c r="E15" i="1"/>
  <c r="E14" i="1"/>
  <c r="E13" i="1"/>
  <c r="E12" i="1"/>
  <c r="E16" i="1" s="1"/>
  <c r="E11" i="1"/>
  <c r="E10" i="1"/>
  <c r="C10" i="1"/>
  <c r="A1" i="1"/>
  <c r="I30" i="1" l="1"/>
  <c r="I39" i="1"/>
  <c r="I32" i="1"/>
  <c r="I41" i="1"/>
  <c r="I40" i="1"/>
  <c r="I31" i="1"/>
  <c r="I28" i="1"/>
  <c r="I38" i="1"/>
  <c r="I29" i="1"/>
  <c r="E110" i="1"/>
  <c r="I42" i="1" l="1"/>
  <c r="I37" i="1" s="1"/>
  <c r="I46" i="1" s="1"/>
  <c r="I50" i="1" s="1"/>
  <c r="I33" i="1"/>
</calcChain>
</file>

<file path=xl/sharedStrings.xml><?xml version="1.0" encoding="utf-8"?>
<sst xmlns="http://schemas.openxmlformats.org/spreadsheetml/2006/main" count="216" uniqueCount="115">
  <si>
    <t>PAYS:</t>
  </si>
  <si>
    <t>Cambodge</t>
  </si>
  <si>
    <t>Nb jours:</t>
  </si>
  <si>
    <t>Arrivée le 28 Février (inclus) au 15 Mars (non inclus)</t>
  </si>
  <si>
    <t>Monnaie:</t>
  </si>
  <si>
    <t>Riel</t>
  </si>
  <si>
    <t>Taux de change (1$=KMR):</t>
  </si>
  <si>
    <t>Taux de change (1€=$):</t>
  </si>
  <si>
    <t>Ville</t>
  </si>
  <si>
    <t>Hotel</t>
  </si>
  <si>
    <t>Prix/pers ($)</t>
  </si>
  <si>
    <t>Prix/pers (devise)</t>
  </si>
  <si>
    <t>Prix/pers (€)</t>
  </si>
  <si>
    <t>Phnom Penh</t>
  </si>
  <si>
    <t>Aqua Boutique Hotel (2 nuits)</t>
  </si>
  <si>
    <t>Siem Reap</t>
  </si>
  <si>
    <t>Jasmine Garden Villa (4 nuits)</t>
  </si>
  <si>
    <t>Battambang</t>
  </si>
  <si>
    <t>Asia Hotel (3 nuits)</t>
  </si>
  <si>
    <t>King Guesthouse</t>
  </si>
  <si>
    <t>Krong Koh Kong</t>
  </si>
  <si>
    <t>Oasis Resort (4 nuits)</t>
  </si>
  <si>
    <t>Logement</t>
  </si>
  <si>
    <t>TOTAL Hotels</t>
  </si>
  <si>
    <t>Restaurant</t>
  </si>
  <si>
    <t>Marché (soupe de nouilles) + boissons</t>
  </si>
  <si>
    <t>Bière</t>
  </si>
  <si>
    <t>Achats fruits</t>
  </si>
  <si>
    <t>Courses pour soir</t>
  </si>
  <si>
    <t>Route -&gt; Siem Reap</t>
  </si>
  <si>
    <t>Restau (midi)</t>
  </si>
  <si>
    <t>Restau (soir)</t>
  </si>
  <si>
    <t>Courses (biscuits + eau)</t>
  </si>
  <si>
    <t>TOTAL</t>
  </si>
  <si>
    <t>Angkor</t>
  </si>
  <si>
    <t>Coût par jour / personne (€):</t>
  </si>
  <si>
    <t>Navy Khmer Kitchen (soir)</t>
  </si>
  <si>
    <t>Total:</t>
  </si>
  <si>
    <t>Navy Khmer Kitchen (sandwichs midi)</t>
  </si>
  <si>
    <t>Logements:</t>
  </si>
  <si>
    <t>Courses (eau + biscuits)</t>
  </si>
  <si>
    <t>Repas:</t>
  </si>
  <si>
    <t>Achat coca</t>
  </si>
  <si>
    <t>Transports:</t>
  </si>
  <si>
    <t>Excursions:</t>
  </si>
  <si>
    <t>Autres:</t>
  </si>
  <si>
    <t>Route -&gt; Battambang</t>
  </si>
  <si>
    <t>Gargote (midi - Kevin)</t>
  </si>
  <si>
    <t>Dépenses effectives E&amp;K</t>
  </si>
  <si>
    <t>Coca + Eau + Fruits</t>
  </si>
  <si>
    <t>Café (petit-dej - Kevin)</t>
  </si>
  <si>
    <t>Repas (midi)</t>
  </si>
  <si>
    <t>Repas (soir)</t>
  </si>
  <si>
    <t>Asia Hotel (petit-dej)</t>
  </si>
  <si>
    <t>Café (repas soir)</t>
  </si>
  <si>
    <t>Café, sodas, biere (boissons)</t>
  </si>
  <si>
    <t>Route -&gt; PP</t>
  </si>
  <si>
    <t>Gargote route</t>
  </si>
  <si>
    <t>VISA</t>
  </si>
  <si>
    <t>Marché (fruits) + eau</t>
  </si>
  <si>
    <t>Dragon Restaurant (soir)</t>
  </si>
  <si>
    <t>Boisson arrêt de bus</t>
  </si>
  <si>
    <t>Route -&gt; Koh Kong</t>
  </si>
  <si>
    <t>Prévisionnel</t>
  </si>
  <si>
    <t>Gargote (soir)</t>
  </si>
  <si>
    <t>Oasis Resort (petit dej)</t>
  </si>
  <si>
    <t>Oasis Resort (soir)</t>
  </si>
  <si>
    <t>Oasis Resort (midi)</t>
  </si>
  <si>
    <t>Café Laurent (anniv kevin)</t>
  </si>
  <si>
    <t>King Guesthouse (midi)</t>
  </si>
  <si>
    <t>Repas</t>
  </si>
  <si>
    <t>TOTAL Repas</t>
  </si>
  <si>
    <t>Type</t>
  </si>
  <si>
    <t>Trajet</t>
  </si>
  <si>
    <t>Tuk tuk</t>
  </si>
  <si>
    <t>Phnom-Penh musée (A/R)</t>
  </si>
  <si>
    <t>Bus</t>
  </si>
  <si>
    <t>Phnom-Penh -&gt; Siem Reap</t>
  </si>
  <si>
    <t>Phnom Penh Hotel -&gt; Bus</t>
  </si>
  <si>
    <t>Siem Reap -&gt; Battambang</t>
  </si>
  <si>
    <t>Battambang -&gt; Phnom Penh</t>
  </si>
  <si>
    <t>Phnom Penh -&gt; Koh Kong A/R</t>
  </si>
  <si>
    <t>Centre Koh Kong -&gt; Hotel</t>
  </si>
  <si>
    <t>Hotel -&gt; Centre Koh Kong (x3)</t>
  </si>
  <si>
    <t>Hotel -&gt; Aéroport Phnom Penh</t>
  </si>
  <si>
    <t>Transports</t>
  </si>
  <si>
    <t>TOTAL Transports</t>
  </si>
  <si>
    <t>Activité / Excursion</t>
  </si>
  <si>
    <t>Musée Khmer rouges</t>
  </si>
  <si>
    <t>Pagode d'argent</t>
  </si>
  <si>
    <t>Ticket entrée 3 jours</t>
  </si>
  <si>
    <t>Tuk Tuk Small Tour Day 1 + Sunrise</t>
  </si>
  <si>
    <t>Tuk Tuk Big Tour Day 2</t>
  </si>
  <si>
    <t>Tuk Tuk Tour Day 3</t>
  </si>
  <si>
    <t>Boat Ticket Floating Market</t>
  </si>
  <si>
    <t>Fish Massage</t>
  </si>
  <si>
    <t>Tuk Tuk journée excursion</t>
  </si>
  <si>
    <t>Dégustion de vin - Kevin</t>
  </si>
  <si>
    <t>Entrées temples - Kevin</t>
  </si>
  <si>
    <t>Cours de cuisine</t>
  </si>
  <si>
    <t>Tuk Tuk Bamboo Train</t>
  </si>
  <si>
    <t>Bamboo Train Ticket</t>
  </si>
  <si>
    <t>Blind Massage</t>
  </si>
  <si>
    <t>Koh Kong</t>
  </si>
  <si>
    <t>Jungle</t>
  </si>
  <si>
    <t>Excursion 1 day - Island</t>
  </si>
  <si>
    <t>Activités /Excursions</t>
  </si>
  <si>
    <t>TOTAL Excursions</t>
  </si>
  <si>
    <t>Achat chargeurs</t>
  </si>
  <si>
    <t>Achat magnet</t>
  </si>
  <si>
    <t>Achat Hamac</t>
  </si>
  <si>
    <t>Autre</t>
  </si>
  <si>
    <t>Autres</t>
  </si>
  <si>
    <t>TOTAL Autres</t>
  </si>
  <si>
    <t>Rouge: Payé par les parents de Kevin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</si>
</sst>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rgb="FFFF0000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</fills>
  <borders count="31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dotted">
        <color indexed="64"/>
      </bottom>
      <diagonal/>
    </border>
    <border>
      <left/>
      <right/>
      <top style="medium">
        <color theme="2" tint="-0.499984740745262"/>
      </top>
      <bottom style="dotted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dotted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" fontId="0" fillId="2" borderId="0" xfId="0" applyNumberFormat="1" applyFill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5" xfId="0" applyFont="1" applyFill="1" applyBorder="1" applyAlignment="1">
      <alignment horizontal="center"/>
    </xf>
    <xf numFmtId="43" fontId="5" fillId="4" borderId="5" xfId="1" applyNumberFormat="1" applyFont="1" applyFill="1" applyBorder="1"/>
    <xf numFmtId="0" fontId="5" fillId="4" borderId="5" xfId="0" applyFont="1" applyFill="1" applyBorder="1"/>
    <xf numFmtId="4" fontId="5" fillId="4" borderId="6" xfId="0" applyNumberFormat="1" applyFont="1" applyFill="1" applyBorder="1" applyAlignment="1">
      <alignment horizontal="center"/>
    </xf>
    <xf numFmtId="0" fontId="6" fillId="4" borderId="7" xfId="0" applyFont="1" applyFill="1" applyBorder="1"/>
    <xf numFmtId="0" fontId="6" fillId="4" borderId="0" xfId="0" applyFont="1" applyFill="1" applyBorder="1" applyAlignment="1">
      <alignment horizontal="center"/>
    </xf>
    <xf numFmtId="43" fontId="6" fillId="4" borderId="0" xfId="1" applyFont="1" applyFill="1" applyBorder="1"/>
    <xf numFmtId="0" fontId="6" fillId="4" borderId="0" xfId="0" applyFont="1" applyFill="1" applyBorder="1"/>
    <xf numFmtId="4" fontId="6" fillId="4" borderId="8" xfId="0" applyNumberFormat="1" applyFont="1" applyFill="1" applyBorder="1" applyAlignment="1">
      <alignment horizontal="center"/>
    </xf>
    <xf numFmtId="0" fontId="5" fillId="4" borderId="7" xfId="0" applyFont="1" applyFill="1" applyBorder="1"/>
    <xf numFmtId="0" fontId="5" fillId="4" borderId="0" xfId="0" applyFont="1" applyFill="1" applyBorder="1" applyAlignment="1">
      <alignment horizontal="center"/>
    </xf>
    <xf numFmtId="43" fontId="5" fillId="4" borderId="0" xfId="1" applyFont="1" applyFill="1" applyBorder="1"/>
    <xf numFmtId="0" fontId="5" fillId="4" borderId="0" xfId="0" applyFont="1" applyFill="1" applyBorder="1"/>
    <xf numFmtId="4" fontId="5" fillId="4" borderId="8" xfId="0" applyNumberFormat="1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0" xfId="0" applyFont="1" applyFill="1" applyBorder="1" applyAlignment="1">
      <alignment horizontal="center"/>
    </xf>
    <xf numFmtId="43" fontId="6" fillId="4" borderId="10" xfId="1" applyFont="1" applyFill="1" applyBorder="1"/>
    <xf numFmtId="0" fontId="6" fillId="4" borderId="10" xfId="0" applyFont="1" applyFill="1" applyBorder="1"/>
    <xf numFmtId="4" fontId="6" fillId="4" borderId="11" xfId="0" applyNumberFormat="1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4" fillId="6" borderId="0" xfId="0" applyFont="1" applyFill="1" applyBorder="1"/>
    <xf numFmtId="0" fontId="4" fillId="3" borderId="1" xfId="0" applyFont="1" applyFill="1" applyBorder="1"/>
    <xf numFmtId="4" fontId="4" fillId="3" borderId="3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6" fillId="4" borderId="4" xfId="0" applyFont="1" applyFill="1" applyBorder="1"/>
    <xf numFmtId="0" fontId="6" fillId="4" borderId="5" xfId="0" applyFont="1" applyFill="1" applyBorder="1" applyAlignment="1">
      <alignment horizontal="center"/>
    </xf>
    <xf numFmtId="43" fontId="6" fillId="4" borderId="5" xfId="1" applyFont="1" applyFill="1" applyBorder="1"/>
    <xf numFmtId="0" fontId="6" fillId="4" borderId="5" xfId="0" applyFont="1" applyFill="1" applyBorder="1"/>
    <xf numFmtId="4" fontId="3" fillId="4" borderId="6" xfId="0" applyNumberFormat="1" applyFont="1" applyFill="1" applyBorder="1" applyAlignment="1">
      <alignment horizontal="center"/>
    </xf>
    <xf numFmtId="0" fontId="4" fillId="3" borderId="12" xfId="0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4" fontId="0" fillId="2" borderId="0" xfId="0" applyNumberFormat="1" applyFill="1"/>
    <xf numFmtId="0" fontId="6" fillId="5" borderId="15" xfId="0" applyFont="1" applyFill="1" applyBorder="1"/>
    <xf numFmtId="0" fontId="4" fillId="5" borderId="16" xfId="0" applyFont="1" applyFill="1" applyBorder="1"/>
    <xf numFmtId="2" fontId="4" fillId="5" borderId="17" xfId="0" applyNumberFormat="1" applyFont="1" applyFill="1" applyBorder="1" applyAlignment="1">
      <alignment horizontal="center"/>
    </xf>
    <xf numFmtId="0" fontId="6" fillId="4" borderId="18" xfId="0" applyFont="1" applyFill="1" applyBorder="1"/>
    <xf numFmtId="0" fontId="6" fillId="4" borderId="19" xfId="0" applyFont="1" applyFill="1" applyBorder="1" applyAlignment="1">
      <alignment horizontal="right"/>
    </xf>
    <xf numFmtId="2" fontId="6" fillId="4" borderId="20" xfId="0" applyNumberFormat="1" applyFont="1" applyFill="1" applyBorder="1" applyAlignment="1">
      <alignment horizontal="left"/>
    </xf>
    <xf numFmtId="0" fontId="6" fillId="4" borderId="21" xfId="0" applyFont="1" applyFill="1" applyBorder="1"/>
    <xf numFmtId="0" fontId="6" fillId="4" borderId="22" xfId="0" applyFont="1" applyFill="1" applyBorder="1" applyAlignment="1">
      <alignment horizontal="right"/>
    </xf>
    <xf numFmtId="2" fontId="6" fillId="4" borderId="23" xfId="0" applyNumberFormat="1" applyFont="1" applyFill="1" applyBorder="1" applyAlignment="1">
      <alignment horizontal="left"/>
    </xf>
    <xf numFmtId="0" fontId="6" fillId="4" borderId="22" xfId="0" applyFont="1" applyFill="1" applyBorder="1"/>
    <xf numFmtId="0" fontId="6" fillId="4" borderId="24" xfId="0" applyFont="1" applyFill="1" applyBorder="1"/>
    <xf numFmtId="0" fontId="6" fillId="4" borderId="25" xfId="0" applyFont="1" applyFill="1" applyBorder="1" applyAlignment="1">
      <alignment horizontal="right"/>
    </xf>
    <xf numFmtId="2" fontId="6" fillId="4" borderId="26" xfId="0" applyNumberFormat="1" applyFont="1" applyFill="1" applyBorder="1" applyAlignment="1">
      <alignment horizontal="left"/>
    </xf>
    <xf numFmtId="0" fontId="6" fillId="4" borderId="27" xfId="0" applyFont="1" applyFill="1" applyBorder="1"/>
    <xf numFmtId="0" fontId="6" fillId="4" borderId="28" xfId="0" applyFont="1" applyFill="1" applyBorder="1" applyAlignment="1">
      <alignment horizontal="right"/>
    </xf>
    <xf numFmtId="2" fontId="6" fillId="4" borderId="29" xfId="0" applyNumberFormat="1" applyFont="1" applyFill="1" applyBorder="1" applyAlignment="1">
      <alignment horizontal="left"/>
    </xf>
    <xf numFmtId="2" fontId="4" fillId="5" borderId="30" xfId="0" applyNumberFormat="1" applyFont="1" applyFill="1" applyBorder="1" applyAlignment="1">
      <alignment horizontal="center"/>
    </xf>
    <xf numFmtId="0" fontId="5" fillId="2" borderId="0" xfId="0" applyFont="1" applyFill="1"/>
    <xf numFmtId="0" fontId="6" fillId="4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9" fillId="7" borderId="1" xfId="0" applyFont="1" applyFill="1" applyBorder="1"/>
    <xf numFmtId="4" fontId="9" fillId="7" borderId="3" xfId="0" applyNumberFormat="1" applyFont="1" applyFill="1" applyBorder="1" applyAlignment="1">
      <alignment horizontal="center"/>
    </xf>
    <xf numFmtId="0" fontId="4" fillId="4" borderId="1" xfId="0" applyFont="1" applyFill="1" applyBorder="1"/>
    <xf numFmtId="4" fontId="4" fillId="4" borderId="3" xfId="0" applyNumberFormat="1" applyFont="1" applyFill="1" applyBorder="1" applyAlignment="1">
      <alignment horizontal="center"/>
    </xf>
    <xf numFmtId="0" fontId="4" fillId="5" borderId="1" xfId="0" applyFont="1" applyFill="1" applyBorder="1"/>
    <xf numFmtId="4" fontId="4" fillId="5" borderId="3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9" fillId="8" borderId="1" xfId="0" applyFont="1" applyFill="1" applyBorder="1"/>
    <xf numFmtId="4" fontId="9" fillId="8" borderId="3" xfId="0" applyNumberFormat="1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Cambodge!$A$1</c:f>
          <c:strCache>
            <c:ptCount val="1"/>
            <c:pt idx="0">
              <c:v>BUDGET Cambodge</c:v>
            </c:pt>
          </c:strCache>
        </c:strRef>
      </c:tx>
      <c:layout/>
      <c:overlay val="0"/>
      <c:txPr>
        <a:bodyPr/>
        <a:lstStyle/>
        <a:p>
          <a:pPr>
            <a:defRPr b="1" baseline="0">
              <a:solidFill>
                <a:schemeClr val="bg2">
                  <a:lumMod val="25000"/>
                </a:schemeClr>
              </a:solidFill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5DEE7"/>
              </a:solidFill>
            </c:spPr>
          </c:dPt>
          <c:dPt>
            <c:idx val="1"/>
            <c:bubble3D val="0"/>
            <c:spPr>
              <a:solidFill>
                <a:srgbClr val="993366"/>
              </a:solidFill>
            </c:spPr>
          </c:dPt>
          <c:dPt>
            <c:idx val="2"/>
            <c:bubble3D val="0"/>
            <c:spPr>
              <a:solidFill>
                <a:srgbClr val="F5F2E3"/>
              </a:solidFill>
            </c:spPr>
          </c:dPt>
          <c:dPt>
            <c:idx val="3"/>
            <c:bubble3D val="0"/>
            <c:spPr>
              <a:solidFill>
                <a:srgbClr val="D6D6AD"/>
              </a:solidFill>
            </c:spPr>
          </c:dPt>
          <c:dPt>
            <c:idx val="4"/>
            <c:bubble3D val="0"/>
            <c:spPr>
              <a:solidFill>
                <a:srgbClr val="660066"/>
              </a:solidFill>
            </c:spPr>
          </c:dPt>
          <c:dLbls>
            <c:dLbl>
              <c:idx val="1"/>
              <c:layout>
                <c:manualLayout>
                  <c:x val="1.0322632747829692E-2"/>
                  <c:y val="4.015543993396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1309436320459945E-2"/>
                  <c:y val="-2.1228707443088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(Cambodge!$B$16,Cambodge!$B$62,Cambodge!$B$74,Cambodge!$B$99,Cambodge!$B$110)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Activités /Excursions</c:v>
                </c:pt>
                <c:pt idx="4">
                  <c:v>Autres</c:v>
                </c:pt>
              </c:strCache>
            </c:strRef>
          </c:cat>
          <c:val>
            <c:numRef>
              <c:f>(Cambodge!$E$16,Cambodge!$E$62,Cambodge!$E$74,Cambodge!$E$99,Cambodge!$E$110)</c:f>
              <c:numCache>
                <c:formatCode>#,##0.00</c:formatCode>
                <c:ptCount val="5"/>
                <c:pt idx="0">
                  <c:v>86.624300196701455</c:v>
                </c:pt>
                <c:pt idx="1">
                  <c:v>79.730292026025083</c:v>
                </c:pt>
                <c:pt idx="2">
                  <c:v>24.682251475261008</c:v>
                </c:pt>
                <c:pt idx="3">
                  <c:v>111.21198365864728</c:v>
                </c:pt>
                <c:pt idx="4">
                  <c:v>3.7827205326070508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5F2E3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142875</xdr:rowOff>
    </xdr:from>
    <xdr:to>
      <xdr:col>12</xdr:col>
      <xdr:colOff>381000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M/Suivi%20Budget%20par%20pay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aits"/>
      <sheetName val="Synhthèse"/>
      <sheetName val="Chine"/>
      <sheetName val="Mongolie"/>
      <sheetName val="Tibet"/>
      <sheetName val="Népal"/>
      <sheetName val="Inde"/>
      <sheetName val="Thailande"/>
      <sheetName val="Birmanie"/>
      <sheetName val="Laos"/>
      <sheetName val="Vietnam"/>
      <sheetName val="Cambodge"/>
      <sheetName val="Australie"/>
      <sheetName val="NZ"/>
      <sheetName val="Ile de Paques"/>
      <sheetName val="Chili"/>
      <sheetName val="Argentine"/>
      <sheetName val="Bolivie"/>
      <sheetName val="Perou"/>
      <sheetName val="Equat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BUDGET Cambodge</v>
          </cell>
        </row>
        <row r="16">
          <cell r="B16" t="str">
            <v>Logement</v>
          </cell>
          <cell r="E16">
            <v>86.624300196701455</v>
          </cell>
        </row>
        <row r="62">
          <cell r="B62" t="str">
            <v>Repas</v>
          </cell>
          <cell r="E62">
            <v>79.730292026025083</v>
          </cell>
        </row>
        <row r="74">
          <cell r="B74" t="str">
            <v>Transports</v>
          </cell>
          <cell r="E74">
            <v>24.682251475261008</v>
          </cell>
        </row>
        <row r="99">
          <cell r="B99" t="str">
            <v>Activités /Excursions</v>
          </cell>
          <cell r="E99">
            <v>111.21198365864728</v>
          </cell>
        </row>
        <row r="110">
          <cell r="B110" t="str">
            <v>Autres</v>
          </cell>
          <cell r="E110">
            <v>3.7827205326070508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workbookViewId="0"/>
  </sheetViews>
  <sheetFormatPr baseColWidth="10" defaultRowHeight="12.75" x14ac:dyDescent="0.2"/>
  <cols>
    <col min="1" max="1" width="22" style="2" customWidth="1"/>
    <col min="2" max="2" width="34.5703125" style="2" customWidth="1"/>
    <col min="3" max="4" width="16.85546875" style="2" bestFit="1" customWidth="1"/>
    <col min="5" max="5" width="15.140625" style="4" customWidth="1"/>
    <col min="6" max="6" width="14.42578125" style="2" customWidth="1"/>
    <col min="7" max="16384" width="11.42578125" style="2"/>
  </cols>
  <sheetData>
    <row r="1" spans="1:6" x14ac:dyDescent="0.2">
      <c r="A1" s="1" t="str">
        <f>"BUDGET "&amp;B3</f>
        <v>BUDGET Cambodge</v>
      </c>
      <c r="C1" s="75"/>
      <c r="D1" s="75"/>
      <c r="E1" s="76"/>
      <c r="F1" s="75"/>
    </row>
    <row r="3" spans="1:6" x14ac:dyDescent="0.2">
      <c r="A3" s="1" t="s">
        <v>0</v>
      </c>
      <c r="B3" s="3" t="s">
        <v>1</v>
      </c>
    </row>
    <row r="4" spans="1:6" x14ac:dyDescent="0.2">
      <c r="A4" s="1" t="s">
        <v>2</v>
      </c>
      <c r="B4" s="3">
        <v>15</v>
      </c>
      <c r="C4" s="5" t="s">
        <v>3</v>
      </c>
    </row>
    <row r="5" spans="1:6" x14ac:dyDescent="0.2">
      <c r="A5" s="1" t="s">
        <v>4</v>
      </c>
      <c r="B5" s="6" t="s">
        <v>5</v>
      </c>
      <c r="C5" s="63" t="s">
        <v>114</v>
      </c>
    </row>
    <row r="6" spans="1:6" x14ac:dyDescent="0.2">
      <c r="A6" s="1" t="s">
        <v>6</v>
      </c>
      <c r="B6" s="3">
        <v>4000</v>
      </c>
    </row>
    <row r="7" spans="1:6" x14ac:dyDescent="0.2">
      <c r="A7" s="1" t="s">
        <v>7</v>
      </c>
      <c r="B7" s="7">
        <v>1.3218000000000001</v>
      </c>
    </row>
    <row r="8" spans="1:6" ht="13.5" thickBot="1" x14ac:dyDescent="0.25"/>
    <row r="9" spans="1:6" ht="14.25" thickTop="1" thickBot="1" x14ac:dyDescent="0.25">
      <c r="A9" s="8" t="s">
        <v>8</v>
      </c>
      <c r="B9" s="9" t="s">
        <v>9</v>
      </c>
      <c r="C9" s="9" t="s">
        <v>10</v>
      </c>
      <c r="D9" s="9" t="s">
        <v>11</v>
      </c>
      <c r="E9" s="10" t="s">
        <v>12</v>
      </c>
    </row>
    <row r="10" spans="1:6" ht="13.5" thickTop="1" x14ac:dyDescent="0.2">
      <c r="A10" s="11" t="s">
        <v>13</v>
      </c>
      <c r="B10" s="12" t="s">
        <v>14</v>
      </c>
      <c r="C10" s="13">
        <f>27.5/2*2</f>
        <v>27.5</v>
      </c>
      <c r="D10" s="14"/>
      <c r="E10" s="15">
        <f t="shared" ref="E10:E15" si="0">C10/$B$7+D10/($B$6*$B$7)</f>
        <v>20.804962929338778</v>
      </c>
    </row>
    <row r="11" spans="1:6" x14ac:dyDescent="0.2">
      <c r="A11" s="16" t="s">
        <v>15</v>
      </c>
      <c r="B11" s="17" t="s">
        <v>16</v>
      </c>
      <c r="C11" s="18">
        <v>18</v>
      </c>
      <c r="D11" s="19"/>
      <c r="E11" s="20">
        <f t="shared" si="0"/>
        <v>13.617793917385383</v>
      </c>
    </row>
    <row r="12" spans="1:6" x14ac:dyDescent="0.2">
      <c r="A12" s="16" t="s">
        <v>17</v>
      </c>
      <c r="B12" s="17" t="s">
        <v>18</v>
      </c>
      <c r="C12" s="18">
        <v>9</v>
      </c>
      <c r="D12" s="19"/>
      <c r="E12" s="20">
        <f t="shared" si="0"/>
        <v>6.8088969586926913</v>
      </c>
    </row>
    <row r="13" spans="1:6" x14ac:dyDescent="0.2">
      <c r="A13" s="16" t="s">
        <v>13</v>
      </c>
      <c r="B13" s="17" t="s">
        <v>19</v>
      </c>
      <c r="C13" s="18">
        <v>5</v>
      </c>
      <c r="D13" s="19"/>
      <c r="E13" s="20">
        <f t="shared" si="0"/>
        <v>3.7827205326070508</v>
      </c>
    </row>
    <row r="14" spans="1:6" x14ac:dyDescent="0.2">
      <c r="A14" s="21" t="s">
        <v>20</v>
      </c>
      <c r="B14" s="22" t="s">
        <v>21</v>
      </c>
      <c r="C14" s="23">
        <v>50</v>
      </c>
      <c r="D14" s="24"/>
      <c r="E14" s="25">
        <f t="shared" si="0"/>
        <v>37.827205326070505</v>
      </c>
    </row>
    <row r="15" spans="1:6" ht="13.5" thickBot="1" x14ac:dyDescent="0.25">
      <c r="A15" s="26" t="s">
        <v>13</v>
      </c>
      <c r="B15" s="27" t="s">
        <v>19</v>
      </c>
      <c r="C15" s="28">
        <v>5</v>
      </c>
      <c r="D15" s="29"/>
      <c r="E15" s="30">
        <f t="shared" si="0"/>
        <v>3.7827205326070508</v>
      </c>
    </row>
    <row r="16" spans="1:6" ht="14.25" thickTop="1" thickBot="1" x14ac:dyDescent="0.25">
      <c r="A16" s="31"/>
      <c r="B16" s="32" t="s">
        <v>22</v>
      </c>
      <c r="C16" s="33"/>
      <c r="D16" s="34" t="s">
        <v>23</v>
      </c>
      <c r="E16" s="35">
        <f>SUM(E10:E15)</f>
        <v>86.624300196701455</v>
      </c>
    </row>
    <row r="17" spans="1:11" ht="13.5" thickTop="1" x14ac:dyDescent="0.2">
      <c r="A17" s="31"/>
      <c r="B17" s="32"/>
      <c r="C17" s="33"/>
      <c r="D17" s="33"/>
      <c r="E17" s="36"/>
    </row>
    <row r="18" spans="1:11" ht="13.5" thickBot="1" x14ac:dyDescent="0.25">
      <c r="A18" s="31"/>
      <c r="B18" s="32"/>
      <c r="C18" s="33"/>
      <c r="D18" s="33"/>
      <c r="E18" s="36"/>
    </row>
    <row r="19" spans="1:11" ht="14.25" thickTop="1" thickBot="1" x14ac:dyDescent="0.25">
      <c r="A19" s="8" t="s">
        <v>8</v>
      </c>
      <c r="B19" s="9" t="s">
        <v>24</v>
      </c>
      <c r="C19" s="9" t="s">
        <v>10</v>
      </c>
      <c r="D19" s="9" t="s">
        <v>11</v>
      </c>
      <c r="E19" s="10" t="s">
        <v>12</v>
      </c>
    </row>
    <row r="20" spans="1:11" ht="13.5" thickTop="1" x14ac:dyDescent="0.2">
      <c r="A20" s="37" t="s">
        <v>13</v>
      </c>
      <c r="B20" s="38" t="s">
        <v>25</v>
      </c>
      <c r="C20" s="39">
        <f>4.25/4</f>
        <v>1.0625</v>
      </c>
      <c r="D20" s="40"/>
      <c r="E20" s="41">
        <f t="shared" ref="E20:E58" si="1">C20/$B$7+D20/($B$6*$B$7)</f>
        <v>0.80382811317899827</v>
      </c>
    </row>
    <row r="21" spans="1:11" x14ac:dyDescent="0.2">
      <c r="A21" s="16" t="s">
        <v>13</v>
      </c>
      <c r="B21" s="17" t="s">
        <v>26</v>
      </c>
      <c r="C21" s="18">
        <v>1.2</v>
      </c>
      <c r="D21" s="19"/>
      <c r="E21" s="20">
        <f t="shared" si="1"/>
        <v>0.90785292782569216</v>
      </c>
    </row>
    <row r="22" spans="1:11" x14ac:dyDescent="0.2">
      <c r="A22" s="16" t="s">
        <v>13</v>
      </c>
      <c r="B22" s="17" t="s">
        <v>27</v>
      </c>
      <c r="C22" s="18">
        <v>0.5</v>
      </c>
      <c r="D22" s="19"/>
      <c r="E22" s="20">
        <f t="shared" si="1"/>
        <v>0.37827205326070507</v>
      </c>
    </row>
    <row r="23" spans="1:11" x14ac:dyDescent="0.2">
      <c r="A23" s="16" t="s">
        <v>13</v>
      </c>
      <c r="B23" s="17" t="s">
        <v>28</v>
      </c>
      <c r="C23" s="18">
        <f>7.2/4</f>
        <v>1.8</v>
      </c>
      <c r="D23" s="19"/>
      <c r="E23" s="20">
        <f t="shared" si="1"/>
        <v>1.3617793917385383</v>
      </c>
    </row>
    <row r="24" spans="1:11" x14ac:dyDescent="0.2">
      <c r="A24" s="16" t="s">
        <v>29</v>
      </c>
      <c r="B24" s="17" t="s">
        <v>30</v>
      </c>
      <c r="C24" s="18">
        <v>2.5</v>
      </c>
      <c r="D24" s="19"/>
      <c r="E24" s="20">
        <f t="shared" si="1"/>
        <v>1.8913602663035254</v>
      </c>
    </row>
    <row r="25" spans="1:11" x14ac:dyDescent="0.2">
      <c r="A25" s="16" t="s">
        <v>15</v>
      </c>
      <c r="B25" s="17" t="s">
        <v>31</v>
      </c>
      <c r="C25" s="18">
        <f>(1.5+3+3)/2</f>
        <v>3.75</v>
      </c>
      <c r="D25" s="19"/>
      <c r="E25" s="20">
        <f t="shared" si="1"/>
        <v>2.837040399455288</v>
      </c>
    </row>
    <row r="26" spans="1:11" ht="13.5" thickBot="1" x14ac:dyDescent="0.25">
      <c r="A26" s="16" t="s">
        <v>15</v>
      </c>
      <c r="B26" s="17" t="s">
        <v>32</v>
      </c>
      <c r="C26" s="18">
        <v>1</v>
      </c>
      <c r="D26" s="19">
        <v>1500</v>
      </c>
      <c r="E26" s="20">
        <f t="shared" si="1"/>
        <v>1.0402481464669389</v>
      </c>
      <c r="G26" s="1" t="s">
        <v>33</v>
      </c>
    </row>
    <row r="27" spans="1:11" ht="13.5" thickBot="1" x14ac:dyDescent="0.25">
      <c r="A27" s="16" t="s">
        <v>34</v>
      </c>
      <c r="B27" s="17" t="s">
        <v>30</v>
      </c>
      <c r="C27" s="18">
        <v>5.25</v>
      </c>
      <c r="D27" s="19"/>
      <c r="E27" s="20">
        <f t="shared" si="1"/>
        <v>3.9718565592374033</v>
      </c>
      <c r="G27" s="42" t="s">
        <v>35</v>
      </c>
      <c r="H27" s="43"/>
      <c r="I27" s="44"/>
      <c r="K27" s="45"/>
    </row>
    <row r="28" spans="1:11" ht="13.5" thickBot="1" x14ac:dyDescent="0.25">
      <c r="A28" s="16" t="s">
        <v>15</v>
      </c>
      <c r="B28" s="17" t="s">
        <v>36</v>
      </c>
      <c r="C28" s="18">
        <f>5.5/2</f>
        <v>2.75</v>
      </c>
      <c r="D28" s="19"/>
      <c r="E28" s="20">
        <f t="shared" si="1"/>
        <v>2.0804962929338777</v>
      </c>
      <c r="G28" s="46"/>
      <c r="H28" s="47" t="s">
        <v>37</v>
      </c>
      <c r="I28" s="48">
        <f>(E16+E62+E74+E99+E110)/$B$4</f>
        <v>20.402103192616128</v>
      </c>
      <c r="K28" s="45"/>
    </row>
    <row r="29" spans="1:11" x14ac:dyDescent="0.2">
      <c r="A29" s="16" t="s">
        <v>15</v>
      </c>
      <c r="B29" s="17" t="s">
        <v>38</v>
      </c>
      <c r="C29" s="18">
        <v>1.5</v>
      </c>
      <c r="D29" s="19"/>
      <c r="E29" s="20">
        <f t="shared" si="1"/>
        <v>1.1348161597821151</v>
      </c>
      <c r="G29" s="49"/>
      <c r="H29" s="50" t="s">
        <v>39</v>
      </c>
      <c r="I29" s="51">
        <f>E16/B4</f>
        <v>5.7749533464467637</v>
      </c>
      <c r="K29" s="45"/>
    </row>
    <row r="30" spans="1:11" x14ac:dyDescent="0.2">
      <c r="A30" s="16" t="s">
        <v>15</v>
      </c>
      <c r="B30" s="17" t="s">
        <v>40</v>
      </c>
      <c r="C30" s="18">
        <v>0.5</v>
      </c>
      <c r="D30" s="19"/>
      <c r="E30" s="20">
        <f t="shared" si="1"/>
        <v>0.37827205326070507</v>
      </c>
      <c r="G30" s="52"/>
      <c r="H30" s="53" t="s">
        <v>41</v>
      </c>
      <c r="I30" s="54">
        <f>E62/B4</f>
        <v>5.3153528017350054</v>
      </c>
      <c r="K30" s="45"/>
    </row>
    <row r="31" spans="1:11" x14ac:dyDescent="0.2">
      <c r="A31" s="16" t="s">
        <v>34</v>
      </c>
      <c r="B31" s="17" t="s">
        <v>42</v>
      </c>
      <c r="C31" s="18">
        <v>0.5</v>
      </c>
      <c r="D31" s="19"/>
      <c r="E31" s="20">
        <f t="shared" si="1"/>
        <v>0.37827205326070507</v>
      </c>
      <c r="G31" s="52"/>
      <c r="H31" s="53" t="s">
        <v>43</v>
      </c>
      <c r="I31" s="54">
        <f>+E74/B4</f>
        <v>1.6454834316840672</v>
      </c>
      <c r="K31" s="45"/>
    </row>
    <row r="32" spans="1:11" x14ac:dyDescent="0.2">
      <c r="A32" s="16" t="s">
        <v>15</v>
      </c>
      <c r="B32" s="17" t="s">
        <v>36</v>
      </c>
      <c r="C32" s="18">
        <v>2.5</v>
      </c>
      <c r="D32" s="19"/>
      <c r="E32" s="20">
        <f t="shared" si="1"/>
        <v>1.8913602663035254</v>
      </c>
      <c r="G32" s="52"/>
      <c r="H32" s="55" t="s">
        <v>44</v>
      </c>
      <c r="I32" s="54">
        <f>+E99/B4</f>
        <v>7.414132243909819</v>
      </c>
      <c r="K32" s="45"/>
    </row>
    <row r="33" spans="1:9" ht="13.5" thickBot="1" x14ac:dyDescent="0.25">
      <c r="A33" s="16" t="s">
        <v>15</v>
      </c>
      <c r="B33" s="17" t="s">
        <v>38</v>
      </c>
      <c r="C33" s="18">
        <v>1.5</v>
      </c>
      <c r="D33" s="19"/>
      <c r="E33" s="20">
        <f t="shared" si="1"/>
        <v>1.1348161597821151</v>
      </c>
      <c r="G33" s="56"/>
      <c r="H33" s="57" t="s">
        <v>45</v>
      </c>
      <c r="I33" s="58">
        <f>+E110/B4</f>
        <v>0.25218136884047004</v>
      </c>
    </row>
    <row r="34" spans="1:9" x14ac:dyDescent="0.2">
      <c r="A34" s="16" t="s">
        <v>15</v>
      </c>
      <c r="B34" s="17" t="s">
        <v>36</v>
      </c>
      <c r="C34" s="18">
        <v>3.5</v>
      </c>
      <c r="D34" s="19"/>
      <c r="E34" s="20">
        <f t="shared" si="1"/>
        <v>2.6479043728249354</v>
      </c>
    </row>
    <row r="35" spans="1:9" ht="13.5" thickBot="1" x14ac:dyDescent="0.25">
      <c r="A35" s="16" t="s">
        <v>46</v>
      </c>
      <c r="B35" s="17" t="s">
        <v>47</v>
      </c>
      <c r="C35" s="18">
        <v>1.5</v>
      </c>
      <c r="D35" s="19"/>
      <c r="E35" s="20">
        <f t="shared" si="1"/>
        <v>1.1348161597821151</v>
      </c>
      <c r="G35" s="1" t="s">
        <v>48</v>
      </c>
    </row>
    <row r="36" spans="1:9" ht="13.5" thickBot="1" x14ac:dyDescent="0.25">
      <c r="A36" s="16" t="s">
        <v>17</v>
      </c>
      <c r="B36" s="17" t="s">
        <v>49</v>
      </c>
      <c r="C36" s="18"/>
      <c r="D36" s="19">
        <f>1500/2</f>
        <v>750</v>
      </c>
      <c r="E36" s="20">
        <f t="shared" si="1"/>
        <v>0.14185201997276439</v>
      </c>
      <c r="G36" s="42" t="s">
        <v>35</v>
      </c>
      <c r="H36" s="43"/>
      <c r="I36" s="44"/>
    </row>
    <row r="37" spans="1:9" ht="13.5" thickBot="1" x14ac:dyDescent="0.25">
      <c r="A37" s="16" t="s">
        <v>17</v>
      </c>
      <c r="B37" s="17" t="s">
        <v>50</v>
      </c>
      <c r="C37" s="18">
        <v>1.5</v>
      </c>
      <c r="D37" s="19"/>
      <c r="E37" s="20">
        <f t="shared" si="1"/>
        <v>1.1348161597821151</v>
      </c>
      <c r="G37" s="46"/>
      <c r="H37" s="47" t="s">
        <v>37</v>
      </c>
      <c r="I37" s="48">
        <f>SUM(I38:I42)</f>
        <v>15.416477530640032</v>
      </c>
    </row>
    <row r="38" spans="1:9" x14ac:dyDescent="0.2">
      <c r="A38" s="16" t="s">
        <v>17</v>
      </c>
      <c r="B38" s="17" t="s">
        <v>51</v>
      </c>
      <c r="C38" s="18">
        <f>(1+2)/2</f>
        <v>1.5</v>
      </c>
      <c r="D38" s="19"/>
      <c r="E38" s="20">
        <f t="shared" si="1"/>
        <v>1.1348161597821151</v>
      </c>
      <c r="G38" s="49"/>
      <c r="H38" s="50" t="s">
        <v>39</v>
      </c>
      <c r="I38" s="51">
        <f>(E16-E10-E14)/$B$4</f>
        <v>1.8661421294194775</v>
      </c>
    </row>
    <row r="39" spans="1:9" x14ac:dyDescent="0.2">
      <c r="A39" s="16" t="s">
        <v>17</v>
      </c>
      <c r="B39" s="17" t="s">
        <v>52</v>
      </c>
      <c r="C39" s="18">
        <f>2.5/2</f>
        <v>1.25</v>
      </c>
      <c r="D39" s="19"/>
      <c r="E39" s="20">
        <f t="shared" si="1"/>
        <v>0.94568013315176269</v>
      </c>
      <c r="G39" s="52"/>
      <c r="H39" s="53" t="s">
        <v>41</v>
      </c>
      <c r="I39" s="54">
        <f>(E62-E42-E56-E57)/$B$4</f>
        <v>4.3394109043223876</v>
      </c>
    </row>
    <row r="40" spans="1:9" x14ac:dyDescent="0.2">
      <c r="A40" s="16" t="s">
        <v>17</v>
      </c>
      <c r="B40" s="17" t="s">
        <v>53</v>
      </c>
      <c r="C40" s="18">
        <v>1.5</v>
      </c>
      <c r="D40" s="19"/>
      <c r="E40" s="20">
        <f t="shared" si="1"/>
        <v>1.1348161597821151</v>
      </c>
      <c r="G40" s="52"/>
      <c r="H40" s="53" t="s">
        <v>43</v>
      </c>
      <c r="I40" s="54">
        <f>(E74-E67-E72)/$B$4</f>
        <v>1.5446108841478792</v>
      </c>
    </row>
    <row r="41" spans="1:9" x14ac:dyDescent="0.2">
      <c r="A41" s="16" t="s">
        <v>17</v>
      </c>
      <c r="B41" s="17" t="s">
        <v>54</v>
      </c>
      <c r="C41" s="18">
        <v>2</v>
      </c>
      <c r="D41" s="19">
        <v>1000</v>
      </c>
      <c r="E41" s="20">
        <f t="shared" si="1"/>
        <v>1.7022242396731728</v>
      </c>
      <c r="G41" s="52"/>
      <c r="H41" s="55" t="s">
        <v>44</v>
      </c>
      <c r="I41" s="54">
        <f>E99/$B$4</f>
        <v>7.414132243909819</v>
      </c>
    </row>
    <row r="42" spans="1:9" ht="13.5" thickBot="1" x14ac:dyDescent="0.25">
      <c r="A42" s="21"/>
      <c r="B42" s="22" t="s">
        <v>55</v>
      </c>
      <c r="C42" s="23">
        <f>0.75+0.75+0.35</f>
        <v>1.85</v>
      </c>
      <c r="D42" s="24"/>
      <c r="E42" s="25">
        <f t="shared" si="1"/>
        <v>1.3996065970646088</v>
      </c>
      <c r="G42" s="56"/>
      <c r="H42" s="57" t="s">
        <v>45</v>
      </c>
      <c r="I42" s="58">
        <f>E110/$B$4</f>
        <v>0.25218136884047004</v>
      </c>
    </row>
    <row r="43" spans="1:9" ht="13.5" thickBot="1" x14ac:dyDescent="0.25">
      <c r="A43" s="16" t="s">
        <v>17</v>
      </c>
      <c r="B43" s="17" t="s">
        <v>53</v>
      </c>
      <c r="C43" s="18">
        <v>1.5</v>
      </c>
      <c r="D43" s="19"/>
      <c r="E43" s="20">
        <f t="shared" si="1"/>
        <v>1.1348161597821151</v>
      </c>
    </row>
    <row r="44" spans="1:9" x14ac:dyDescent="0.2">
      <c r="A44" s="16" t="s">
        <v>56</v>
      </c>
      <c r="B44" s="17" t="s">
        <v>57</v>
      </c>
      <c r="C44" s="18"/>
      <c r="D44" s="19">
        <v>2500</v>
      </c>
      <c r="E44" s="20">
        <f t="shared" si="1"/>
        <v>0.47284006657588129</v>
      </c>
      <c r="G44" s="59" t="s">
        <v>58</v>
      </c>
      <c r="H44" s="60"/>
      <c r="I44" s="61">
        <f>25/B7</f>
        <v>18.913602663035253</v>
      </c>
    </row>
    <row r="45" spans="1:9" ht="13.5" thickBot="1" x14ac:dyDescent="0.25">
      <c r="A45" s="16" t="s">
        <v>13</v>
      </c>
      <c r="B45" s="17" t="s">
        <v>59</v>
      </c>
      <c r="C45" s="18">
        <v>0.5</v>
      </c>
      <c r="D45" s="19">
        <f>2500/2</f>
        <v>1250</v>
      </c>
      <c r="E45" s="20">
        <f t="shared" si="1"/>
        <v>0.61469208654864571</v>
      </c>
    </row>
    <row r="46" spans="1:9" ht="13.5" thickBot="1" x14ac:dyDescent="0.25">
      <c r="A46" s="16" t="s">
        <v>13</v>
      </c>
      <c r="B46" s="17" t="s">
        <v>60</v>
      </c>
      <c r="C46" s="18">
        <v>4.25</v>
      </c>
      <c r="D46" s="19"/>
      <c r="E46" s="20">
        <f t="shared" si="1"/>
        <v>3.2153124527159931</v>
      </c>
      <c r="G46" s="46"/>
      <c r="H46" s="47" t="s">
        <v>37</v>
      </c>
      <c r="I46" s="48">
        <f>I37*$B$4+I44</f>
        <v>250.16076562263572</v>
      </c>
    </row>
    <row r="47" spans="1:9" ht="13.5" thickBot="1" x14ac:dyDescent="0.25">
      <c r="A47" s="16" t="s">
        <v>13</v>
      </c>
      <c r="B47" s="17" t="s">
        <v>61</v>
      </c>
      <c r="C47" s="18">
        <v>0.25</v>
      </c>
      <c r="D47" s="19"/>
      <c r="E47" s="20">
        <f t="shared" si="1"/>
        <v>0.18913602663035253</v>
      </c>
    </row>
    <row r="48" spans="1:9" ht="13.5" thickBot="1" x14ac:dyDescent="0.25">
      <c r="A48" s="16" t="s">
        <v>62</v>
      </c>
      <c r="B48" s="17" t="s">
        <v>57</v>
      </c>
      <c r="C48" s="18"/>
      <c r="D48" s="19">
        <f>7000/2</f>
        <v>3500</v>
      </c>
      <c r="E48" s="20">
        <f t="shared" si="1"/>
        <v>0.66197609320623385</v>
      </c>
      <c r="G48" s="42" t="s">
        <v>63</v>
      </c>
      <c r="H48" s="43"/>
      <c r="I48" s="44"/>
    </row>
    <row r="49" spans="1:10" ht="13.5" thickBot="1" x14ac:dyDescent="0.25">
      <c r="A49" s="16" t="s">
        <v>20</v>
      </c>
      <c r="B49" s="17" t="s">
        <v>64</v>
      </c>
      <c r="C49" s="18">
        <v>2</v>
      </c>
      <c r="D49" s="19"/>
      <c r="E49" s="20">
        <f t="shared" si="1"/>
        <v>1.5130882130428203</v>
      </c>
      <c r="G49" s="46"/>
      <c r="H49" s="47" t="s">
        <v>37</v>
      </c>
      <c r="I49" s="48">
        <f>30*B4</f>
        <v>450</v>
      </c>
    </row>
    <row r="50" spans="1:10" ht="13.5" thickBot="1" x14ac:dyDescent="0.25">
      <c r="A50" s="16" t="s">
        <v>20</v>
      </c>
      <c r="B50" s="17" t="s">
        <v>65</v>
      </c>
      <c r="C50" s="18">
        <f>(2.8+3)/2</f>
        <v>2.9</v>
      </c>
      <c r="D50" s="19"/>
      <c r="E50" s="20">
        <f t="shared" si="1"/>
        <v>2.1939779089120894</v>
      </c>
      <c r="I50" s="62">
        <f>I49-I46</f>
        <v>199.83923437736428</v>
      </c>
    </row>
    <row r="51" spans="1:10" x14ac:dyDescent="0.2">
      <c r="A51" s="16" t="s">
        <v>20</v>
      </c>
      <c r="B51" s="17" t="s">
        <v>66</v>
      </c>
      <c r="C51" s="18">
        <f>(5.5+4.5+1.3)/2</f>
        <v>5.65</v>
      </c>
      <c r="D51" s="19"/>
      <c r="E51" s="20">
        <f t="shared" si="1"/>
        <v>4.274474201845968</v>
      </c>
      <c r="G51" s="5"/>
    </row>
    <row r="52" spans="1:10" x14ac:dyDescent="0.2">
      <c r="A52" s="16" t="s">
        <v>20</v>
      </c>
      <c r="B52" s="17" t="s">
        <v>65</v>
      </c>
      <c r="C52" s="18">
        <f>(1+1.2+6)/2</f>
        <v>4.0999999999999996</v>
      </c>
      <c r="D52" s="19"/>
      <c r="E52" s="20">
        <f t="shared" si="1"/>
        <v>3.1018308367377814</v>
      </c>
      <c r="G52" s="5"/>
    </row>
    <row r="53" spans="1:10" x14ac:dyDescent="0.2">
      <c r="A53" s="16" t="s">
        <v>20</v>
      </c>
      <c r="B53" s="17" t="s">
        <v>67</v>
      </c>
      <c r="C53" s="18">
        <f>(3.5*2+1)/2</f>
        <v>4</v>
      </c>
      <c r="D53" s="19"/>
      <c r="E53" s="20">
        <f t="shared" si="1"/>
        <v>3.0261764260856405</v>
      </c>
      <c r="G53" s="5"/>
    </row>
    <row r="54" spans="1:10" x14ac:dyDescent="0.2">
      <c r="A54" s="16" t="s">
        <v>20</v>
      </c>
      <c r="B54" s="17" t="s">
        <v>66</v>
      </c>
      <c r="C54" s="18">
        <f>3.65+1.3</f>
        <v>4.95</v>
      </c>
      <c r="D54" s="19"/>
      <c r="E54" s="20">
        <f t="shared" si="1"/>
        <v>3.7448933272809803</v>
      </c>
      <c r="G54" s="5"/>
    </row>
    <row r="55" spans="1:10" x14ac:dyDescent="0.2">
      <c r="A55" s="16" t="s">
        <v>20</v>
      </c>
      <c r="B55" s="17" t="s">
        <v>65</v>
      </c>
      <c r="C55" s="18">
        <v>4</v>
      </c>
      <c r="D55" s="19"/>
      <c r="E55" s="20">
        <f t="shared" si="1"/>
        <v>3.0261764260856405</v>
      </c>
      <c r="G55" s="5"/>
    </row>
    <row r="56" spans="1:10" x14ac:dyDescent="0.2">
      <c r="A56" s="21" t="s">
        <v>20</v>
      </c>
      <c r="B56" s="22" t="s">
        <v>68</v>
      </c>
      <c r="C56" s="23">
        <f>(7.5+5.5+6+2+5+4)/2</f>
        <v>15</v>
      </c>
      <c r="D56" s="24"/>
      <c r="E56" s="25">
        <f t="shared" si="1"/>
        <v>11.348161597821152</v>
      </c>
      <c r="G56" s="5"/>
    </row>
    <row r="57" spans="1:10" x14ac:dyDescent="0.2">
      <c r="A57" s="21" t="s">
        <v>20</v>
      </c>
      <c r="B57" s="22" t="s">
        <v>65</v>
      </c>
      <c r="C57" s="23">
        <v>2.5</v>
      </c>
      <c r="D57" s="24"/>
      <c r="E57" s="25">
        <f t="shared" si="1"/>
        <v>1.8913602663035254</v>
      </c>
      <c r="G57" s="5"/>
    </row>
    <row r="58" spans="1:10" x14ac:dyDescent="0.2">
      <c r="A58" s="16" t="s">
        <v>13</v>
      </c>
      <c r="B58" s="17" t="s">
        <v>69</v>
      </c>
      <c r="C58" s="18">
        <v>3</v>
      </c>
      <c r="D58" s="19"/>
      <c r="E58" s="20">
        <f t="shared" si="1"/>
        <v>2.2696323195642303</v>
      </c>
      <c r="G58" s="5"/>
    </row>
    <row r="59" spans="1:10" x14ac:dyDescent="0.2">
      <c r="A59" s="16" t="s">
        <v>13</v>
      </c>
      <c r="B59" s="17" t="s">
        <v>60</v>
      </c>
      <c r="C59" s="18">
        <v>4.25</v>
      </c>
      <c r="D59" s="19"/>
      <c r="E59" s="20">
        <f>C59/$B$7+D59/($B$6*$B$7)</f>
        <v>3.2153124527159931</v>
      </c>
      <c r="G59" s="5"/>
      <c r="J59" s="63"/>
    </row>
    <row r="60" spans="1:10" x14ac:dyDescent="0.2">
      <c r="A60" s="16" t="s">
        <v>13</v>
      </c>
      <c r="B60" s="17" t="s">
        <v>69</v>
      </c>
      <c r="C60" s="18">
        <v>3</v>
      </c>
      <c r="D60" s="19"/>
      <c r="E60" s="20">
        <f>C60/$B$7+D60/($B$6*$B$7)</f>
        <v>2.2696323195642303</v>
      </c>
      <c r="G60" s="5"/>
      <c r="H60" s="1"/>
      <c r="J60" s="63"/>
    </row>
    <row r="61" spans="1:10" ht="13.5" thickBot="1" x14ac:dyDescent="0.25">
      <c r="A61" s="26"/>
      <c r="B61" s="27"/>
      <c r="C61" s="29"/>
      <c r="D61" s="29"/>
      <c r="E61" s="64"/>
      <c r="G61" s="5"/>
      <c r="H61" s="1"/>
      <c r="I61" s="5"/>
    </row>
    <row r="62" spans="1:10" ht="14.25" thickTop="1" thickBot="1" x14ac:dyDescent="0.25">
      <c r="B62" s="65" t="s">
        <v>70</v>
      </c>
      <c r="C62" s="33"/>
      <c r="D62" s="66" t="s">
        <v>71</v>
      </c>
      <c r="E62" s="67">
        <f>SUM(E20:E61)</f>
        <v>79.730292026025083</v>
      </c>
      <c r="G62" s="5"/>
    </row>
    <row r="63" spans="1:10" ht="14.25" thickTop="1" thickBot="1" x14ac:dyDescent="0.25">
      <c r="B63" s="4"/>
      <c r="G63" s="5"/>
      <c r="I63" s="5"/>
    </row>
    <row r="64" spans="1:10" ht="14.25" thickTop="1" thickBot="1" x14ac:dyDescent="0.25">
      <c r="A64" s="8" t="s">
        <v>72</v>
      </c>
      <c r="B64" s="9" t="s">
        <v>73</v>
      </c>
      <c r="C64" s="9" t="s">
        <v>10</v>
      </c>
      <c r="D64" s="9" t="s">
        <v>11</v>
      </c>
      <c r="E64" s="10" t="s">
        <v>12</v>
      </c>
      <c r="G64" s="5"/>
    </row>
    <row r="65" spans="1:9" ht="13.5" thickTop="1" x14ac:dyDescent="0.2">
      <c r="A65" s="37" t="s">
        <v>74</v>
      </c>
      <c r="B65" s="38" t="s">
        <v>75</v>
      </c>
      <c r="C65" s="39">
        <f>(3+2.5)/4</f>
        <v>1.375</v>
      </c>
      <c r="D65" s="40"/>
      <c r="E65" s="41">
        <f t="shared" ref="E65:E73" si="2">C65/$B$7+D65/($B$6*$B$7)</f>
        <v>1.0402481464669389</v>
      </c>
      <c r="I65" s="1"/>
    </row>
    <row r="66" spans="1:9" x14ac:dyDescent="0.2">
      <c r="A66" s="16" t="s">
        <v>76</v>
      </c>
      <c r="B66" s="17" t="s">
        <v>77</v>
      </c>
      <c r="C66" s="18">
        <v>5.75</v>
      </c>
      <c r="D66" s="19"/>
      <c r="E66" s="20">
        <f t="shared" si="2"/>
        <v>4.350128612498108</v>
      </c>
    </row>
    <row r="67" spans="1:9" x14ac:dyDescent="0.2">
      <c r="A67" s="21" t="s">
        <v>74</v>
      </c>
      <c r="B67" s="22" t="s">
        <v>78</v>
      </c>
      <c r="C67" s="23">
        <v>0.5</v>
      </c>
      <c r="D67" s="24"/>
      <c r="E67" s="25">
        <f t="shared" si="2"/>
        <v>0.37827205326070507</v>
      </c>
      <c r="G67" s="5"/>
    </row>
    <row r="68" spans="1:9" x14ac:dyDescent="0.2">
      <c r="A68" s="16" t="s">
        <v>76</v>
      </c>
      <c r="B68" s="17" t="s">
        <v>79</v>
      </c>
      <c r="C68" s="18">
        <v>4.5</v>
      </c>
      <c r="D68" s="19"/>
      <c r="E68" s="20">
        <f t="shared" si="2"/>
        <v>3.4044484793463456</v>
      </c>
    </row>
    <row r="69" spans="1:9" x14ac:dyDescent="0.2">
      <c r="A69" s="16" t="s">
        <v>76</v>
      </c>
      <c r="B69" s="17" t="s">
        <v>80</v>
      </c>
      <c r="C69" s="18">
        <v>4.5</v>
      </c>
      <c r="D69" s="19"/>
      <c r="E69" s="20">
        <f t="shared" si="2"/>
        <v>3.4044484793463456</v>
      </c>
      <c r="G69" s="5"/>
    </row>
    <row r="70" spans="1:9" x14ac:dyDescent="0.2">
      <c r="A70" s="16" t="s">
        <v>76</v>
      </c>
      <c r="B70" s="17" t="s">
        <v>81</v>
      </c>
      <c r="C70" s="18">
        <v>11.5</v>
      </c>
      <c r="D70" s="19"/>
      <c r="E70" s="20">
        <f t="shared" si="2"/>
        <v>8.700257224996216</v>
      </c>
      <c r="G70" s="5"/>
    </row>
    <row r="71" spans="1:9" x14ac:dyDescent="0.2">
      <c r="A71" s="16" t="s">
        <v>74</v>
      </c>
      <c r="B71" s="17" t="s">
        <v>82</v>
      </c>
      <c r="C71" s="18">
        <v>0.5</v>
      </c>
      <c r="D71" s="19"/>
      <c r="E71" s="20">
        <f t="shared" si="2"/>
        <v>0.37827205326070507</v>
      </c>
      <c r="G71" s="5"/>
    </row>
    <row r="72" spans="1:9" x14ac:dyDescent="0.2">
      <c r="A72" s="21" t="s">
        <v>74</v>
      </c>
      <c r="B72" s="22" t="s">
        <v>83</v>
      </c>
      <c r="C72" s="23">
        <v>1.5</v>
      </c>
      <c r="D72" s="24"/>
      <c r="E72" s="25">
        <f t="shared" si="2"/>
        <v>1.1348161597821151</v>
      </c>
    </row>
    <row r="73" spans="1:9" ht="13.5" thickBot="1" x14ac:dyDescent="0.25">
      <c r="A73" s="26" t="s">
        <v>74</v>
      </c>
      <c r="B73" s="27" t="s">
        <v>84</v>
      </c>
      <c r="C73" s="28">
        <v>2.5</v>
      </c>
      <c r="D73" s="29"/>
      <c r="E73" s="30">
        <f t="shared" si="2"/>
        <v>1.8913602663035254</v>
      </c>
      <c r="G73" s="5"/>
    </row>
    <row r="74" spans="1:9" ht="14.25" thickTop="1" thickBot="1" x14ac:dyDescent="0.25">
      <c r="A74" s="31"/>
      <c r="B74" s="32" t="s">
        <v>85</v>
      </c>
      <c r="D74" s="68" t="s">
        <v>86</v>
      </c>
      <c r="E74" s="69">
        <f>SUM(E65:E73)</f>
        <v>24.682251475261008</v>
      </c>
    </row>
    <row r="75" spans="1:9" ht="14.25" thickTop="1" thickBot="1" x14ac:dyDescent="0.25">
      <c r="B75" s="4"/>
    </row>
    <row r="76" spans="1:9" ht="14.25" thickTop="1" thickBot="1" x14ac:dyDescent="0.25">
      <c r="A76" s="8" t="s">
        <v>8</v>
      </c>
      <c r="B76" s="9" t="s">
        <v>87</v>
      </c>
      <c r="C76" s="9" t="s">
        <v>10</v>
      </c>
      <c r="D76" s="9" t="s">
        <v>11</v>
      </c>
      <c r="E76" s="10" t="s">
        <v>12</v>
      </c>
    </row>
    <row r="77" spans="1:9" ht="13.5" thickTop="1" x14ac:dyDescent="0.2">
      <c r="A77" s="37" t="s">
        <v>13</v>
      </c>
      <c r="B77" s="38" t="s">
        <v>88</v>
      </c>
      <c r="C77" s="39">
        <v>2</v>
      </c>
      <c r="D77" s="40"/>
      <c r="E77" s="41">
        <f t="shared" ref="E77:E93" si="3">C77/$B$7+D77/($B$6*$B$7)</f>
        <v>1.5130882130428203</v>
      </c>
    </row>
    <row r="78" spans="1:9" x14ac:dyDescent="0.2">
      <c r="A78" s="16" t="s">
        <v>13</v>
      </c>
      <c r="B78" s="17" t="s">
        <v>89</v>
      </c>
      <c r="C78" s="18">
        <v>6.5</v>
      </c>
      <c r="D78" s="19"/>
      <c r="E78" s="20">
        <f t="shared" si="3"/>
        <v>4.9175366923891657</v>
      </c>
    </row>
    <row r="79" spans="1:9" x14ac:dyDescent="0.2">
      <c r="A79" s="16" t="s">
        <v>34</v>
      </c>
      <c r="B79" s="17" t="s">
        <v>90</v>
      </c>
      <c r="C79" s="18">
        <v>40</v>
      </c>
      <c r="D79" s="19"/>
      <c r="E79" s="20">
        <f t="shared" si="3"/>
        <v>30.261764260856406</v>
      </c>
    </row>
    <row r="80" spans="1:9" x14ac:dyDescent="0.2">
      <c r="A80" s="16" t="s">
        <v>34</v>
      </c>
      <c r="B80" s="17" t="s">
        <v>91</v>
      </c>
      <c r="C80" s="18">
        <f>13/4</f>
        <v>3.25</v>
      </c>
      <c r="D80" s="19"/>
      <c r="E80" s="20">
        <f t="shared" si="3"/>
        <v>2.4587683461945828</v>
      </c>
    </row>
    <row r="81" spans="1:5" x14ac:dyDescent="0.2">
      <c r="A81" s="16" t="s">
        <v>34</v>
      </c>
      <c r="B81" s="17" t="s">
        <v>92</v>
      </c>
      <c r="C81" s="18">
        <f>21/4</f>
        <v>5.25</v>
      </c>
      <c r="D81" s="19"/>
      <c r="E81" s="20">
        <f t="shared" si="3"/>
        <v>3.9718565592374033</v>
      </c>
    </row>
    <row r="82" spans="1:5" x14ac:dyDescent="0.2">
      <c r="A82" s="16" t="s">
        <v>34</v>
      </c>
      <c r="B82" s="17" t="s">
        <v>93</v>
      </c>
      <c r="C82" s="18">
        <f>13/4</f>
        <v>3.25</v>
      </c>
      <c r="D82" s="19"/>
      <c r="E82" s="20">
        <f t="shared" si="3"/>
        <v>2.4587683461945828</v>
      </c>
    </row>
    <row r="83" spans="1:5" x14ac:dyDescent="0.2">
      <c r="A83" s="16" t="s">
        <v>34</v>
      </c>
      <c r="B83" s="17" t="s">
        <v>94</v>
      </c>
      <c r="C83" s="18">
        <f>48/4</f>
        <v>12</v>
      </c>
      <c r="D83" s="19"/>
      <c r="E83" s="20">
        <f t="shared" si="3"/>
        <v>9.0785292782569211</v>
      </c>
    </row>
    <row r="84" spans="1:5" x14ac:dyDescent="0.2">
      <c r="A84" s="16" t="s">
        <v>15</v>
      </c>
      <c r="B84" s="17" t="s">
        <v>95</v>
      </c>
      <c r="C84" s="18">
        <v>1</v>
      </c>
      <c r="D84" s="19"/>
      <c r="E84" s="20">
        <f t="shared" si="3"/>
        <v>0.75654410652141013</v>
      </c>
    </row>
    <row r="85" spans="1:5" x14ac:dyDescent="0.2">
      <c r="A85" s="16" t="s">
        <v>17</v>
      </c>
      <c r="B85" s="17" t="s">
        <v>96</v>
      </c>
      <c r="C85" s="18">
        <v>5</v>
      </c>
      <c r="D85" s="19"/>
      <c r="E85" s="20">
        <f t="shared" si="3"/>
        <v>3.7827205326070508</v>
      </c>
    </row>
    <row r="86" spans="1:5" x14ac:dyDescent="0.2">
      <c r="A86" s="16" t="s">
        <v>17</v>
      </c>
      <c r="B86" s="17" t="s">
        <v>97</v>
      </c>
      <c r="C86" s="18">
        <v>1</v>
      </c>
      <c r="D86" s="19"/>
      <c r="E86" s="20">
        <f t="shared" si="3"/>
        <v>0.75654410652141013</v>
      </c>
    </row>
    <row r="87" spans="1:5" x14ac:dyDescent="0.2">
      <c r="A87" s="16" t="s">
        <v>17</v>
      </c>
      <c r="B87" s="17" t="s">
        <v>98</v>
      </c>
      <c r="C87" s="18">
        <v>1.5</v>
      </c>
      <c r="D87" s="19"/>
      <c r="E87" s="20">
        <f t="shared" si="3"/>
        <v>1.1348161597821151</v>
      </c>
    </row>
    <row r="88" spans="1:5" x14ac:dyDescent="0.2">
      <c r="A88" s="16" t="s">
        <v>17</v>
      </c>
      <c r="B88" s="17" t="s">
        <v>99</v>
      </c>
      <c r="C88" s="18">
        <v>9</v>
      </c>
      <c r="D88" s="19"/>
      <c r="E88" s="20">
        <f t="shared" si="3"/>
        <v>6.8088969586926913</v>
      </c>
    </row>
    <row r="89" spans="1:5" x14ac:dyDescent="0.2">
      <c r="A89" s="16" t="s">
        <v>17</v>
      </c>
      <c r="B89" s="17" t="s">
        <v>100</v>
      </c>
      <c r="C89" s="18">
        <f>5/4</f>
        <v>1.25</v>
      </c>
      <c r="D89" s="19"/>
      <c r="E89" s="20">
        <f t="shared" si="3"/>
        <v>0.94568013315176269</v>
      </c>
    </row>
    <row r="90" spans="1:5" x14ac:dyDescent="0.2">
      <c r="A90" s="16" t="s">
        <v>17</v>
      </c>
      <c r="B90" s="17" t="s">
        <v>101</v>
      </c>
      <c r="C90" s="18">
        <v>5</v>
      </c>
      <c r="D90" s="19"/>
      <c r="E90" s="20">
        <f t="shared" si="3"/>
        <v>3.7827205326070508</v>
      </c>
    </row>
    <row r="91" spans="1:5" x14ac:dyDescent="0.2">
      <c r="A91" s="16" t="s">
        <v>13</v>
      </c>
      <c r="B91" s="17" t="s">
        <v>102</v>
      </c>
      <c r="C91" s="18">
        <v>6</v>
      </c>
      <c r="D91" s="19"/>
      <c r="E91" s="20">
        <f t="shared" si="3"/>
        <v>4.5392646391284606</v>
      </c>
    </row>
    <row r="92" spans="1:5" x14ac:dyDescent="0.2">
      <c r="A92" s="16" t="s">
        <v>103</v>
      </c>
      <c r="B92" s="17" t="s">
        <v>104</v>
      </c>
      <c r="C92" s="18">
        <v>20</v>
      </c>
      <c r="D92" s="19"/>
      <c r="E92" s="20">
        <f t="shared" si="3"/>
        <v>15.130882130428203</v>
      </c>
    </row>
    <row r="93" spans="1:5" x14ac:dyDescent="0.2">
      <c r="A93" s="16" t="s">
        <v>103</v>
      </c>
      <c r="B93" s="17" t="s">
        <v>105</v>
      </c>
      <c r="C93" s="18">
        <v>25</v>
      </c>
      <c r="D93" s="19"/>
      <c r="E93" s="20">
        <f t="shared" si="3"/>
        <v>18.913602663035253</v>
      </c>
    </row>
    <row r="94" spans="1:5" x14ac:dyDescent="0.2">
      <c r="A94" s="16"/>
      <c r="B94" s="17"/>
      <c r="C94" s="18"/>
      <c r="D94" s="19"/>
      <c r="E94" s="20"/>
    </row>
    <row r="95" spans="1:5" x14ac:dyDescent="0.2">
      <c r="A95" s="16"/>
      <c r="B95" s="17"/>
      <c r="C95" s="18"/>
      <c r="D95" s="19"/>
      <c r="E95" s="20"/>
    </row>
    <row r="96" spans="1:5" x14ac:dyDescent="0.2">
      <c r="A96" s="16"/>
      <c r="B96" s="17"/>
      <c r="C96" s="18"/>
      <c r="D96" s="19"/>
      <c r="E96" s="20"/>
    </row>
    <row r="97" spans="1:5" x14ac:dyDescent="0.2">
      <c r="A97" s="16"/>
      <c r="B97" s="17"/>
      <c r="C97" s="18"/>
      <c r="D97" s="19"/>
      <c r="E97" s="20"/>
    </row>
    <row r="98" spans="1:5" ht="13.5" thickBot="1" x14ac:dyDescent="0.25">
      <c r="A98" s="26"/>
      <c r="B98" s="27"/>
      <c r="C98" s="29"/>
      <c r="D98" s="29"/>
      <c r="E98" s="64"/>
    </row>
    <row r="99" spans="1:5" ht="14.25" thickTop="1" thickBot="1" x14ac:dyDescent="0.25">
      <c r="B99" s="65" t="s">
        <v>106</v>
      </c>
      <c r="D99" s="70" t="s">
        <v>107</v>
      </c>
      <c r="E99" s="71">
        <f>SUM(E77:E98)</f>
        <v>111.21198365864728</v>
      </c>
    </row>
    <row r="100" spans="1:5" ht="14.25" thickTop="1" thickBot="1" x14ac:dyDescent="0.25"/>
    <row r="101" spans="1:5" ht="14.25" thickTop="1" thickBot="1" x14ac:dyDescent="0.25">
      <c r="A101" s="8" t="s">
        <v>45</v>
      </c>
      <c r="B101" s="9"/>
      <c r="C101" s="9" t="s">
        <v>10</v>
      </c>
      <c r="D101" s="9" t="s">
        <v>11</v>
      </c>
      <c r="E101" s="10" t="s">
        <v>12</v>
      </c>
    </row>
    <row r="102" spans="1:5" ht="13.5" thickTop="1" x14ac:dyDescent="0.2">
      <c r="A102" s="37" t="s">
        <v>13</v>
      </c>
      <c r="B102" s="38" t="s">
        <v>108</v>
      </c>
      <c r="C102" s="39">
        <v>2.5</v>
      </c>
      <c r="D102" s="40"/>
      <c r="E102" s="41">
        <f>C102/$B$7+D102/$B$6</f>
        <v>1.8913602663035254</v>
      </c>
    </row>
    <row r="103" spans="1:5" x14ac:dyDescent="0.2">
      <c r="A103" s="16" t="s">
        <v>13</v>
      </c>
      <c r="B103" s="17" t="s">
        <v>109</v>
      </c>
      <c r="C103" s="18">
        <f>0.75/2</f>
        <v>0.375</v>
      </c>
      <c r="D103" s="19"/>
      <c r="E103" s="20">
        <f>C103/$B$7+D103/$B$6</f>
        <v>0.28370403994552879</v>
      </c>
    </row>
    <row r="104" spans="1:5" x14ac:dyDescent="0.2">
      <c r="A104" s="16" t="s">
        <v>15</v>
      </c>
      <c r="B104" s="17" t="s">
        <v>110</v>
      </c>
      <c r="C104" s="18">
        <v>1</v>
      </c>
      <c r="D104" s="19"/>
      <c r="E104" s="20">
        <f>C104/$B$7+D104/$B$6</f>
        <v>0.75654410652141013</v>
      </c>
    </row>
    <row r="105" spans="1:5" x14ac:dyDescent="0.2">
      <c r="A105" s="16" t="s">
        <v>13</v>
      </c>
      <c r="B105" s="17" t="s">
        <v>111</v>
      </c>
      <c r="C105" s="18">
        <f>2.25/2</f>
        <v>1.125</v>
      </c>
      <c r="D105" s="19"/>
      <c r="E105" s="20">
        <f>C105/$B$7+D105/$B$6</f>
        <v>0.85111211983658641</v>
      </c>
    </row>
    <row r="106" spans="1:5" x14ac:dyDescent="0.2">
      <c r="A106" s="16"/>
      <c r="B106" s="17"/>
      <c r="C106" s="18"/>
      <c r="D106" s="19"/>
      <c r="E106" s="20"/>
    </row>
    <row r="107" spans="1:5" x14ac:dyDescent="0.2">
      <c r="A107" s="16"/>
      <c r="B107" s="17"/>
      <c r="C107" s="18"/>
      <c r="D107" s="19"/>
      <c r="E107" s="20"/>
    </row>
    <row r="108" spans="1:5" x14ac:dyDescent="0.2">
      <c r="A108" s="16"/>
      <c r="B108" s="17"/>
      <c r="C108" s="19"/>
      <c r="D108" s="19"/>
      <c r="E108" s="72"/>
    </row>
    <row r="109" spans="1:5" ht="13.5" thickBot="1" x14ac:dyDescent="0.25">
      <c r="A109" s="26"/>
      <c r="B109" s="27"/>
      <c r="C109" s="29"/>
      <c r="D109" s="29"/>
      <c r="E109" s="64"/>
    </row>
    <row r="110" spans="1:5" ht="14.25" thickTop="1" thickBot="1" x14ac:dyDescent="0.25">
      <c r="B110" s="65" t="s">
        <v>112</v>
      </c>
      <c r="D110" s="73" t="s">
        <v>113</v>
      </c>
      <c r="E110" s="74">
        <f>SUM(E102:E109)</f>
        <v>3.7827205326070508</v>
      </c>
    </row>
    <row r="111" spans="1:5" ht="13.5" thickTop="1" x14ac:dyDescent="0.2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Cambodge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2013-03-15T14:29:55Z</dcterms:created>
  <dcterms:modified xsi:type="dcterms:W3CDTF">2013-03-15T14:35:52Z</dcterms:modified>
</cp:coreProperties>
</file>