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Bolivie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139" i="1" l="1"/>
  <c r="D138" i="1"/>
  <c r="E138" i="1" s="1"/>
  <c r="E137" i="1"/>
  <c r="E136" i="1"/>
  <c r="E135" i="1"/>
  <c r="E134" i="1"/>
  <c r="E133" i="1"/>
  <c r="E132" i="1"/>
  <c r="E131" i="1"/>
  <c r="D130" i="1"/>
  <c r="E130" i="1" s="1"/>
  <c r="E129" i="1"/>
  <c r="E128" i="1"/>
  <c r="E127" i="1"/>
  <c r="E126" i="1"/>
  <c r="E125" i="1"/>
  <c r="E124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D107" i="1"/>
  <c r="E106" i="1"/>
  <c r="E105" i="1"/>
  <c r="E104" i="1"/>
  <c r="E103" i="1"/>
  <c r="D103" i="1"/>
  <c r="E102" i="1"/>
  <c r="E121" i="1" s="1"/>
  <c r="I31" i="1" s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99" i="1" s="1"/>
  <c r="I30" i="1" s="1"/>
  <c r="E74" i="1"/>
  <c r="D74" i="1"/>
  <c r="D73" i="1"/>
  <c r="E73" i="1" s="1"/>
  <c r="E72" i="1"/>
  <c r="D72" i="1"/>
  <c r="D71" i="1"/>
  <c r="E71" i="1" s="1"/>
  <c r="E70" i="1"/>
  <c r="D70" i="1"/>
  <c r="D69" i="1"/>
  <c r="E69" i="1" s="1"/>
  <c r="E68" i="1"/>
  <c r="D68" i="1"/>
  <c r="D67" i="1"/>
  <c r="E67" i="1" s="1"/>
  <c r="E66" i="1"/>
  <c r="D66" i="1"/>
  <c r="D65" i="1"/>
  <c r="E65" i="1" s="1"/>
  <c r="E64" i="1"/>
  <c r="E63" i="1"/>
  <c r="D62" i="1"/>
  <c r="E62" i="1" s="1"/>
  <c r="E61" i="1"/>
  <c r="E60" i="1"/>
  <c r="D60" i="1"/>
  <c r="D59" i="1"/>
  <c r="E59" i="1" s="1"/>
  <c r="E58" i="1"/>
  <c r="D57" i="1"/>
  <c r="E57" i="1" s="1"/>
  <c r="E56" i="1"/>
  <c r="D56" i="1"/>
  <c r="D55" i="1"/>
  <c r="E55" i="1" s="1"/>
  <c r="E54" i="1"/>
  <c r="E53" i="1"/>
  <c r="D53" i="1"/>
  <c r="D52" i="1"/>
  <c r="E52" i="1" s="1"/>
  <c r="E51" i="1"/>
  <c r="E50" i="1"/>
  <c r="D49" i="1"/>
  <c r="E49" i="1" s="1"/>
  <c r="D48" i="1"/>
  <c r="E48" i="1" s="1"/>
  <c r="I47" i="1"/>
  <c r="E47" i="1"/>
  <c r="D47" i="1"/>
  <c r="D46" i="1"/>
  <c r="E46" i="1" s="1"/>
  <c r="E45" i="1"/>
  <c r="E44" i="1"/>
  <c r="E43" i="1"/>
  <c r="E42" i="1"/>
  <c r="E41" i="1"/>
  <c r="E40" i="1"/>
  <c r="D40" i="1"/>
  <c r="I39" i="1"/>
  <c r="D39" i="1"/>
  <c r="E39" i="1" s="1"/>
  <c r="E38" i="1"/>
  <c r="D38" i="1"/>
  <c r="D37" i="1"/>
  <c r="E37" i="1" s="1"/>
  <c r="D36" i="1"/>
  <c r="E36" i="1" s="1"/>
  <c r="E35" i="1"/>
  <c r="D35" i="1"/>
  <c r="D34" i="1"/>
  <c r="E34" i="1" s="1"/>
  <c r="E33" i="1"/>
  <c r="E32" i="1"/>
  <c r="E31" i="1"/>
  <c r="E30" i="1"/>
  <c r="D30" i="1"/>
  <c r="E29" i="1"/>
  <c r="D28" i="1"/>
  <c r="E28" i="1" s="1"/>
  <c r="E27" i="1"/>
  <c r="D27" i="1"/>
  <c r="E26" i="1"/>
  <c r="D26" i="1"/>
  <c r="E25" i="1"/>
  <c r="E20" i="1"/>
  <c r="E18" i="1"/>
  <c r="E17" i="1"/>
  <c r="E16" i="1"/>
  <c r="E15" i="1"/>
  <c r="E14" i="1"/>
  <c r="E13" i="1"/>
  <c r="E12" i="1"/>
  <c r="E11" i="1"/>
  <c r="E10" i="1"/>
  <c r="E21" i="1" s="1"/>
  <c r="D10" i="1"/>
  <c r="A1" i="1"/>
  <c r="E78" i="1" l="1"/>
  <c r="I29" i="1" s="1"/>
  <c r="E145" i="1"/>
  <c r="I32" i="1" s="1"/>
  <c r="I28" i="1"/>
  <c r="I27" i="1" l="1"/>
  <c r="I36" i="1" s="1"/>
  <c r="I44" i="1" l="1"/>
  <c r="I48" i="1" s="1"/>
  <c r="I40" i="1"/>
</calcChain>
</file>

<file path=xl/sharedStrings.xml><?xml version="1.0" encoding="utf-8"?>
<sst xmlns="http://schemas.openxmlformats.org/spreadsheetml/2006/main" count="284" uniqueCount="158">
  <si>
    <t>PAYS:</t>
  </si>
  <si>
    <t>Bolivie</t>
  </si>
  <si>
    <t>Nb jours:</t>
  </si>
  <si>
    <t>Arrivée le 11 Juin (inclus) et départ le 6 Juillet (inclus)</t>
  </si>
  <si>
    <t>Monnaie:</t>
  </si>
  <si>
    <t>Boliviano bolivien</t>
  </si>
  <si>
    <t>Taux de change (1€=):</t>
  </si>
  <si>
    <t>Taux de change (1€=$):</t>
  </si>
  <si>
    <t>Ville</t>
  </si>
  <si>
    <t>Hotel</t>
  </si>
  <si>
    <t>Prix/pers ($)</t>
  </si>
  <si>
    <t>Prix/pers (devise)</t>
  </si>
  <si>
    <t>Prix/pers (€)</t>
  </si>
  <si>
    <t>Tupiza</t>
  </si>
  <si>
    <t>Hostal Los Salares (1 nuit - dble - sdb part. avec pt-dej)</t>
  </si>
  <si>
    <t>Potosi</t>
  </si>
  <si>
    <t>Hostel Koala Dien (2 nuits en dortoir)</t>
  </si>
  <si>
    <t>Sucre</t>
  </si>
  <si>
    <t>Hotel Pachamama (1 nuit en dortoir)</t>
  </si>
  <si>
    <t>Hotel Pachamama (2 nuits - dble - sdb privée)</t>
  </si>
  <si>
    <t>La Paz</t>
  </si>
  <si>
    <t>Hotel Residential Colonia (1 nuit - dble - sdb part.)</t>
  </si>
  <si>
    <t>Rurrenabaque</t>
  </si>
  <si>
    <t>Hotel Los Tucanes (2 nuits - dble - sdb privée)</t>
  </si>
  <si>
    <t>Hotel Residential Colonia (2 nuits - dble - sdb part.)</t>
  </si>
  <si>
    <t>Hotel Residential Colonia (3 nuits - dble - sdb part.)</t>
  </si>
  <si>
    <t>Copacabana</t>
  </si>
  <si>
    <t>Hotel Central (2 nuits - dble - sdb part. avec pt-dej)</t>
  </si>
  <si>
    <t>Logement</t>
  </si>
  <si>
    <t>Repas</t>
  </si>
  <si>
    <t>TOTAL Hotels</t>
  </si>
  <si>
    <t>Restaurant</t>
  </si>
  <si>
    <t>Marché (midi)</t>
  </si>
  <si>
    <t>Eau</t>
  </si>
  <si>
    <t>Coût par jour / personne (€):</t>
  </si>
  <si>
    <t>Légumes + lomitos</t>
  </si>
  <si>
    <t>Total:</t>
  </si>
  <si>
    <t>Empanadas + jus de fruits</t>
  </si>
  <si>
    <t>Logements:</t>
  </si>
  <si>
    <t>Hamburgesa + milanesa</t>
  </si>
  <si>
    <t>Repas:</t>
  </si>
  <si>
    <t>Empanadas</t>
  </si>
  <si>
    <t>Transports:</t>
  </si>
  <si>
    <t>Hamburgesa</t>
  </si>
  <si>
    <t>Excursions:</t>
  </si>
  <si>
    <t>Bières</t>
  </si>
  <si>
    <t>Autres:</t>
  </si>
  <si>
    <t>Salades de fruits (petit-dej)</t>
  </si>
  <si>
    <t>Restau - Alliance française</t>
  </si>
  <si>
    <t>VISA</t>
  </si>
  <si>
    <t>Restau + vin + cocktail</t>
  </si>
  <si>
    <t>Salades de fruits (petit-dej) + Santa Clara</t>
  </si>
  <si>
    <t>Légumes marché pour dej</t>
  </si>
  <si>
    <t>Vin repas Alisha &amp; Dany</t>
  </si>
  <si>
    <t>Prévisionnel</t>
  </si>
  <si>
    <t>Salades de fruits (petit dej)</t>
  </si>
  <si>
    <t>Déjeuner (menu) + boisson</t>
  </si>
  <si>
    <t>Pizzas de rue</t>
  </si>
  <si>
    <t>Chocolat (petit dej)</t>
  </si>
  <si>
    <t>Extra (Vol -&gt; Rurre)</t>
  </si>
  <si>
    <t>Déjeuner</t>
  </si>
  <si>
    <t>Dîner (restau italien)</t>
  </si>
  <si>
    <t>Petti-dej marché</t>
  </si>
  <si>
    <t>Courses marché (petit-dej + dîner)</t>
  </si>
  <si>
    <t>Déjeuner (saltenas + chips+ coca)</t>
  </si>
  <si>
    <t>Déjeuner (marché)</t>
  </si>
  <si>
    <t>Dîner (poulet et vin)</t>
  </si>
  <si>
    <t>Petit pain au chocolat</t>
  </si>
  <si>
    <t>Bières (Pampa)</t>
  </si>
  <si>
    <t>Restau (italien)</t>
  </si>
  <si>
    <t>Achats provisions (midi)</t>
  </si>
  <si>
    <t>Route -&gt; La Paz</t>
  </si>
  <si>
    <t>Dîner</t>
  </si>
  <si>
    <t>Almuerzo + jus orange</t>
  </si>
  <si>
    <t>Dîner gargote</t>
  </si>
  <si>
    <t>Petit-déjeuner Marché</t>
  </si>
  <si>
    <t>Almuerzo + coca</t>
  </si>
  <si>
    <t>Provisions Ascension 6000</t>
  </si>
  <si>
    <t>Pain + eau</t>
  </si>
  <si>
    <t>Saltenas/empanadas + salades de fruits</t>
  </si>
  <si>
    <t>Dîner italien</t>
  </si>
  <si>
    <t>Déjeuner Saltenas + salade fruits</t>
  </si>
  <si>
    <t>Achats choco + bananes</t>
  </si>
  <si>
    <t>Saltenas + biscuits</t>
  </si>
  <si>
    <t>Dîner - truite + bière en front de lac</t>
  </si>
  <si>
    <t>Pain + choco pour midi</t>
  </si>
  <si>
    <t>La Cupula - fondue (Anniv Elise)</t>
  </si>
  <si>
    <t>Dîner - Sushis</t>
  </si>
  <si>
    <t>En-cas + appoint restes bolivianos</t>
  </si>
  <si>
    <t>TOTAL Repas</t>
  </si>
  <si>
    <t>Type</t>
  </si>
  <si>
    <t>Trajet</t>
  </si>
  <si>
    <t>Taxi</t>
  </si>
  <si>
    <t>Villazon -&gt; Tupiza</t>
  </si>
  <si>
    <t>Bus</t>
  </si>
  <si>
    <t>Uyuni -&gt; Potosi</t>
  </si>
  <si>
    <t>Bus ville</t>
  </si>
  <si>
    <t>Potosi gare routière -&gt; centre</t>
  </si>
  <si>
    <t>Potosi - centre -&gt; gare routière</t>
  </si>
  <si>
    <t>Potosi -&gt; Sucre</t>
  </si>
  <si>
    <t>Sucre - gare routière -&gt; centre</t>
  </si>
  <si>
    <t>Sucre -&gt; La Paz</t>
  </si>
  <si>
    <t>Taxe</t>
  </si>
  <si>
    <t>Taxe de sortie de station de bus Sucre</t>
  </si>
  <si>
    <t>La Paz centre -&gt; Villa Fatima (bus Rurre)</t>
  </si>
  <si>
    <t>La Paz -&gt; Rurrenabaque</t>
  </si>
  <si>
    <t>Rurrenabaque -&gt; La Paz</t>
  </si>
  <si>
    <t>Taxe sortie de station de bus Rurre</t>
  </si>
  <si>
    <t>Villa Fatima (bus Rurre) -&gt; La Paz centre</t>
  </si>
  <si>
    <t>La Paz -&gt; Copacabana</t>
  </si>
  <si>
    <t>Taxe sortie de station de bus La Paz</t>
  </si>
  <si>
    <t>Bateau</t>
  </si>
  <si>
    <t>Traversée trajet -&gt; Copacabana</t>
  </si>
  <si>
    <t>Isla del Sol A/R</t>
  </si>
  <si>
    <t>Copacabana -&gt; Cuzco</t>
  </si>
  <si>
    <t>Transports</t>
  </si>
  <si>
    <t>TOTAL Transports</t>
  </si>
  <si>
    <t>Excursion</t>
  </si>
  <si>
    <t>4JR/3N Tupiza-&gt; Salar de Uyuni</t>
  </si>
  <si>
    <t>Salar</t>
  </si>
  <si>
    <t>Entrées Parcs</t>
  </si>
  <si>
    <t>Musée momies</t>
  </si>
  <si>
    <t>Musée de la Moneda</t>
  </si>
  <si>
    <t>Visite des mines</t>
  </si>
  <si>
    <t>Achats cadeaux pour mineurs</t>
  </si>
  <si>
    <t>Musée Casa de la libertad</t>
  </si>
  <si>
    <t>Couvent de San Felipe Neri</t>
  </si>
  <si>
    <t>3j/2nuits Pampa - Fluvial Tours</t>
  </si>
  <si>
    <t>Entrée Parc Pampa</t>
  </si>
  <si>
    <t>Musées Calle Jaen</t>
  </si>
  <si>
    <t>Entrée Parc - mirador Laikakota</t>
  </si>
  <si>
    <t>Musée de la Coca</t>
  </si>
  <si>
    <t>Huayna Potosi 2j/1n (6088m)</t>
  </si>
  <si>
    <t>Huayna Potosi</t>
  </si>
  <si>
    <t>Droit d'entrée</t>
  </si>
  <si>
    <t>Death Road by bike</t>
  </si>
  <si>
    <t>Entrée Death Road</t>
  </si>
  <si>
    <t>Isla del Sol</t>
  </si>
  <si>
    <t>Divers droits d'entrée</t>
  </si>
  <si>
    <t>Excursions</t>
  </si>
  <si>
    <t>TOTAL Excursions</t>
  </si>
  <si>
    <t>PQ</t>
  </si>
  <si>
    <t>Douches</t>
  </si>
  <si>
    <t>Pourboire</t>
  </si>
  <si>
    <t>Toilettes</t>
  </si>
  <si>
    <t>Aimant souvenir</t>
  </si>
  <si>
    <t>Toilettes gare de bus</t>
  </si>
  <si>
    <t>Hygiène (PQ + elastique)</t>
  </si>
  <si>
    <t>Bus Rurre</t>
  </si>
  <si>
    <t>Achats gants</t>
  </si>
  <si>
    <t>Boucles d'oreille</t>
  </si>
  <si>
    <t>Feuilles de coca</t>
  </si>
  <si>
    <t>Piles</t>
  </si>
  <si>
    <t>Laundry 2,5kg</t>
  </si>
  <si>
    <t>Achat manteau Elise</t>
  </si>
  <si>
    <t>Laundry 3kg</t>
  </si>
  <si>
    <t>Autres</t>
  </si>
  <si>
    <t>TOTAL Autres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</si>
</sst>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2" tint="-0.749992370372631"/>
      <name val="Arial"/>
      <family val="2"/>
    </font>
    <font>
      <sz val="10"/>
      <color theme="2" tint="-0.749992370372631"/>
      <name val="Arial"/>
      <family val="2"/>
    </font>
    <font>
      <sz val="10"/>
      <color theme="0"/>
      <name val="Arial"/>
      <family val="2"/>
    </font>
    <font>
      <sz val="10"/>
      <color indexed="9"/>
      <name val="Arial"/>
      <family val="2"/>
    </font>
    <font>
      <b/>
      <sz val="10"/>
      <color rgb="FFF5F2E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5DEE7"/>
        <bgColor indexed="64"/>
      </patternFill>
    </fill>
    <fill>
      <patternFill patternType="solid">
        <fgColor rgb="FFF5F2E3"/>
        <bgColor indexed="64"/>
      </patternFill>
    </fill>
    <fill>
      <patternFill patternType="solid">
        <fgColor rgb="FFD6D6AD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ck">
        <color rgb="FFD6D6AD"/>
      </left>
      <right/>
      <top style="thick">
        <color rgb="FFD6D6AD"/>
      </top>
      <bottom style="thick">
        <color rgb="FFD6D6AD"/>
      </bottom>
      <diagonal/>
    </border>
    <border>
      <left/>
      <right/>
      <top style="thick">
        <color rgb="FFD6D6AD"/>
      </top>
      <bottom style="thick">
        <color rgb="FFD6D6AD"/>
      </bottom>
      <diagonal/>
    </border>
    <border>
      <left/>
      <right style="thick">
        <color rgb="FFD6D6AD"/>
      </right>
      <top style="thick">
        <color rgb="FFD6D6AD"/>
      </top>
      <bottom style="thick">
        <color rgb="FFD6D6AD"/>
      </bottom>
      <diagonal/>
    </border>
    <border>
      <left style="thick">
        <color rgb="FFD6D6AD"/>
      </left>
      <right/>
      <top style="thick">
        <color rgb="FFD6D6AD"/>
      </top>
      <bottom/>
      <diagonal/>
    </border>
    <border>
      <left/>
      <right/>
      <top style="thick">
        <color rgb="FFD6D6AD"/>
      </top>
      <bottom/>
      <diagonal/>
    </border>
    <border>
      <left/>
      <right style="thick">
        <color rgb="FFD6D6AD"/>
      </right>
      <top style="thick">
        <color rgb="FFD6D6AD"/>
      </top>
      <bottom/>
      <diagonal/>
    </border>
    <border>
      <left style="thick">
        <color rgb="FFD6D6AD"/>
      </left>
      <right/>
      <top/>
      <bottom/>
      <diagonal/>
    </border>
    <border>
      <left/>
      <right style="thick">
        <color rgb="FFD6D6AD"/>
      </right>
      <top/>
      <bottom/>
      <diagonal/>
    </border>
    <border>
      <left style="thick">
        <color rgb="FFD6D6AD"/>
      </left>
      <right/>
      <top/>
      <bottom style="thick">
        <color rgb="FFD6D6AD"/>
      </bottom>
      <diagonal/>
    </border>
    <border>
      <left/>
      <right/>
      <top/>
      <bottom style="thick">
        <color rgb="FFD6D6AD"/>
      </bottom>
      <diagonal/>
    </border>
    <border>
      <left/>
      <right style="thick">
        <color rgb="FFD6D6AD"/>
      </right>
      <top/>
      <bottom style="thick">
        <color rgb="FFD6D6AD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theme="2" tint="-0.499984740745262"/>
      </right>
      <top/>
      <bottom style="dotted">
        <color indexed="64"/>
      </bottom>
      <diagonal/>
    </border>
    <border>
      <left style="medium">
        <color theme="2" tint="-0.499984740745262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theme="2" tint="-0.499984740745262"/>
      </right>
      <top style="dotted">
        <color indexed="64"/>
      </top>
      <bottom style="dotted">
        <color indexed="64"/>
      </bottom>
      <diagonal/>
    </border>
    <border>
      <left style="medium">
        <color theme="2" tint="-0.499984740745262"/>
      </left>
      <right/>
      <top style="dotted">
        <color indexed="64"/>
      </top>
      <bottom style="medium">
        <color theme="2" tint="-0.499984740745262"/>
      </bottom>
      <diagonal/>
    </border>
    <border>
      <left/>
      <right/>
      <top style="dotted">
        <color indexed="64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dotted">
        <color indexed="64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dotted">
        <color indexed="64"/>
      </bottom>
      <diagonal/>
    </border>
    <border>
      <left/>
      <right/>
      <top style="medium">
        <color theme="2" tint="-0.499984740745262"/>
      </top>
      <bottom style="dotted">
        <color indexed="64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dotted">
        <color indexed="64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4" fontId="0" fillId="2" borderId="0" xfId="0" applyNumberFormat="1" applyFill="1"/>
    <xf numFmtId="4" fontId="0" fillId="2" borderId="0" xfId="0" applyNumberFormat="1" applyFill="1" applyAlignment="1">
      <alignment horizontal="center"/>
    </xf>
    <xf numFmtId="4" fontId="0" fillId="2" borderId="0" xfId="0" applyNumberFormat="1" applyFill="1" applyAlignment="1">
      <alignment horizontal="left"/>
    </xf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4" fillId="4" borderId="4" xfId="0" applyFont="1" applyFill="1" applyBorder="1"/>
    <xf numFmtId="0" fontId="4" fillId="4" borderId="5" xfId="0" applyFont="1" applyFill="1" applyBorder="1" applyAlignment="1">
      <alignment horizontal="center"/>
    </xf>
    <xf numFmtId="0" fontId="4" fillId="4" borderId="5" xfId="0" applyFont="1" applyFill="1" applyBorder="1"/>
    <xf numFmtId="4" fontId="4" fillId="4" borderId="5" xfId="0" applyNumberFormat="1" applyFont="1" applyFill="1" applyBorder="1"/>
    <xf numFmtId="4" fontId="4" fillId="4" borderId="6" xfId="0" applyNumberFormat="1" applyFont="1" applyFill="1" applyBorder="1" applyAlignment="1">
      <alignment horizontal="center"/>
    </xf>
    <xf numFmtId="0" fontId="4" fillId="4" borderId="7" xfId="0" applyFont="1" applyFill="1" applyBorder="1"/>
    <xf numFmtId="0" fontId="4" fillId="4" borderId="0" xfId="0" applyFont="1" applyFill="1" applyBorder="1" applyAlignment="1">
      <alignment horizontal="center"/>
    </xf>
    <xf numFmtId="0" fontId="4" fillId="4" borderId="0" xfId="0" applyFont="1" applyFill="1" applyBorder="1"/>
    <xf numFmtId="4" fontId="4" fillId="4" borderId="0" xfId="0" applyNumberFormat="1" applyFont="1" applyFill="1" applyBorder="1"/>
    <xf numFmtId="4" fontId="4" fillId="4" borderId="8" xfId="0" applyNumberFormat="1" applyFont="1" applyFill="1" applyBorder="1" applyAlignment="1">
      <alignment horizontal="center"/>
    </xf>
    <xf numFmtId="0" fontId="4" fillId="4" borderId="9" xfId="0" applyFont="1" applyFill="1" applyBorder="1"/>
    <xf numFmtId="0" fontId="4" fillId="4" borderId="10" xfId="0" applyFont="1" applyFill="1" applyBorder="1" applyAlignment="1">
      <alignment horizontal="center"/>
    </xf>
    <xf numFmtId="0" fontId="4" fillId="4" borderId="10" xfId="0" applyFont="1" applyFill="1" applyBorder="1"/>
    <xf numFmtId="0" fontId="4" fillId="4" borderId="11" xfId="0" applyFont="1" applyFill="1" applyBorder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3" fillId="3" borderId="9" xfId="0" applyFont="1" applyFill="1" applyBorder="1"/>
    <xf numFmtId="4" fontId="3" fillId="3" borderId="11" xfId="0" applyNumberFormat="1" applyFont="1" applyFill="1" applyBorder="1" applyAlignment="1">
      <alignment horizontal="center"/>
    </xf>
    <xf numFmtId="0" fontId="3" fillId="3" borderId="12" xfId="0" applyFont="1" applyFill="1" applyBorder="1"/>
    <xf numFmtId="0" fontId="4" fillId="3" borderId="13" xfId="0" applyFont="1" applyFill="1" applyBorder="1"/>
    <xf numFmtId="0" fontId="4" fillId="3" borderId="14" xfId="0" applyFont="1" applyFill="1" applyBorder="1"/>
    <xf numFmtId="0" fontId="4" fillId="5" borderId="15" xfId="0" applyFont="1" applyFill="1" applyBorder="1"/>
    <xf numFmtId="0" fontId="3" fillId="5" borderId="16" xfId="0" applyFont="1" applyFill="1" applyBorder="1"/>
    <xf numFmtId="2" fontId="3" fillId="5" borderId="17" xfId="0" applyNumberFormat="1" applyFont="1" applyFill="1" applyBorder="1" applyAlignment="1">
      <alignment horizontal="center"/>
    </xf>
    <xf numFmtId="0" fontId="4" fillId="4" borderId="18" xfId="0" applyFont="1" applyFill="1" applyBorder="1"/>
    <xf numFmtId="0" fontId="4" fillId="4" borderId="19" xfId="0" applyFont="1" applyFill="1" applyBorder="1" applyAlignment="1">
      <alignment horizontal="right"/>
    </xf>
    <xf numFmtId="2" fontId="4" fillId="4" borderId="20" xfId="0" applyNumberFormat="1" applyFont="1" applyFill="1" applyBorder="1" applyAlignment="1">
      <alignment horizontal="left"/>
    </xf>
    <xf numFmtId="0" fontId="4" fillId="4" borderId="21" xfId="0" applyFont="1" applyFill="1" applyBorder="1"/>
    <xf numFmtId="0" fontId="4" fillId="4" borderId="22" xfId="0" applyFont="1" applyFill="1" applyBorder="1" applyAlignment="1">
      <alignment horizontal="right"/>
    </xf>
    <xf numFmtId="2" fontId="4" fillId="4" borderId="23" xfId="0" applyNumberFormat="1" applyFont="1" applyFill="1" applyBorder="1" applyAlignment="1">
      <alignment horizontal="left"/>
    </xf>
    <xf numFmtId="0" fontId="4" fillId="4" borderId="22" xfId="0" applyFont="1" applyFill="1" applyBorder="1"/>
    <xf numFmtId="0" fontId="4" fillId="4" borderId="24" xfId="0" applyFont="1" applyFill="1" applyBorder="1"/>
    <xf numFmtId="0" fontId="4" fillId="4" borderId="25" xfId="0" applyFont="1" applyFill="1" applyBorder="1" applyAlignment="1">
      <alignment horizontal="right"/>
    </xf>
    <xf numFmtId="2" fontId="4" fillId="4" borderId="26" xfId="0" applyNumberFormat="1" applyFont="1" applyFill="1" applyBorder="1" applyAlignment="1">
      <alignment horizontal="left"/>
    </xf>
    <xf numFmtId="0" fontId="4" fillId="4" borderId="27" xfId="0" applyFont="1" applyFill="1" applyBorder="1"/>
    <xf numFmtId="0" fontId="4" fillId="4" borderId="28" xfId="0" applyFont="1" applyFill="1" applyBorder="1" applyAlignment="1">
      <alignment horizontal="right"/>
    </xf>
    <xf numFmtId="2" fontId="4" fillId="4" borderId="29" xfId="0" applyNumberFormat="1" applyFont="1" applyFill="1" applyBorder="1" applyAlignment="1">
      <alignment horizontal="left"/>
    </xf>
    <xf numFmtId="2" fontId="3" fillId="5" borderId="30" xfId="0" applyNumberFormat="1" applyFont="1" applyFill="1" applyBorder="1" applyAlignment="1">
      <alignment horizontal="center"/>
    </xf>
    <xf numFmtId="0" fontId="7" fillId="6" borderId="1" xfId="0" applyFont="1" applyFill="1" applyBorder="1"/>
    <xf numFmtId="4" fontId="7" fillId="6" borderId="3" xfId="0" applyNumberFormat="1" applyFont="1" applyFill="1" applyBorder="1" applyAlignment="1">
      <alignment horizontal="center"/>
    </xf>
    <xf numFmtId="0" fontId="4" fillId="4" borderId="5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4" fillId="4" borderId="10" xfId="0" applyFont="1" applyFill="1" applyBorder="1" applyAlignment="1">
      <alignment horizontal="left"/>
    </xf>
    <xf numFmtId="4" fontId="4" fillId="4" borderId="10" xfId="0" applyNumberFormat="1" applyFont="1" applyFill="1" applyBorder="1"/>
    <xf numFmtId="4" fontId="4" fillId="4" borderId="11" xfId="0" applyNumberFormat="1" applyFont="1" applyFill="1" applyBorder="1" applyAlignment="1">
      <alignment horizontal="center"/>
    </xf>
    <xf numFmtId="0" fontId="3" fillId="4" borderId="1" xfId="0" applyFont="1" applyFill="1" applyBorder="1"/>
    <xf numFmtId="4" fontId="3" fillId="4" borderId="3" xfId="0" applyNumberFormat="1" applyFont="1" applyFill="1" applyBorder="1" applyAlignment="1">
      <alignment horizontal="center"/>
    </xf>
    <xf numFmtId="0" fontId="3" fillId="5" borderId="1" xfId="0" applyFont="1" applyFill="1" applyBorder="1"/>
    <xf numFmtId="4" fontId="3" fillId="5" borderId="3" xfId="0" applyNumberFormat="1" applyFont="1" applyFill="1" applyBorder="1" applyAlignment="1">
      <alignment horizontal="center"/>
    </xf>
    <xf numFmtId="0" fontId="7" fillId="7" borderId="1" xfId="0" applyFont="1" applyFill="1" applyBorder="1"/>
    <xf numFmtId="4" fontId="7" fillId="7" borderId="3" xfId="0" applyNumberFormat="1" applyFont="1" applyFill="1" applyBorder="1" applyAlignment="1">
      <alignment horizontal="center"/>
    </xf>
    <xf numFmtId="0" fontId="0" fillId="8" borderId="0" xfId="0" applyFill="1"/>
    <xf numFmtId="0" fontId="0" fillId="8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Bolivie!$A$1</c:f>
          <c:strCache>
            <c:ptCount val="1"/>
            <c:pt idx="0">
              <c:v>BUDGET Bolivie</c:v>
            </c:pt>
          </c:strCache>
        </c:strRef>
      </c:tx>
      <c:layout/>
      <c:overlay val="0"/>
      <c:txPr>
        <a:bodyPr/>
        <a:lstStyle/>
        <a:p>
          <a:pPr>
            <a:defRPr sz="960" b="1" i="0" u="none" strike="noStrike" baseline="0">
              <a:solidFill>
                <a:srgbClr val="33330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B5DEE7"/>
              </a:solidFill>
            </c:spPr>
          </c:dPt>
          <c:dPt>
            <c:idx val="1"/>
            <c:bubble3D val="0"/>
            <c:spPr>
              <a:solidFill>
                <a:srgbClr val="993366"/>
              </a:solidFill>
            </c:spPr>
          </c:dPt>
          <c:dPt>
            <c:idx val="2"/>
            <c:bubble3D val="0"/>
            <c:spPr>
              <a:solidFill>
                <a:srgbClr val="F5F2E3"/>
              </a:solidFill>
            </c:spPr>
          </c:dPt>
          <c:dPt>
            <c:idx val="3"/>
            <c:bubble3D val="0"/>
            <c:spPr>
              <a:solidFill>
                <a:srgbClr val="D6D6AD"/>
              </a:solidFill>
            </c:spPr>
          </c:dPt>
          <c:dPt>
            <c:idx val="4"/>
            <c:bubble3D val="0"/>
            <c:spPr>
              <a:solidFill>
                <a:srgbClr val="660066"/>
              </a:solidFill>
            </c:spPr>
          </c:dPt>
          <c:dLbls>
            <c:dLbl>
              <c:idx val="1"/>
              <c:layout>
                <c:manualLayout>
                  <c:x val="-4.8651718535183103E-2"/>
                  <c:y val="-3.05159849288179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6.1309436320459945E-2"/>
                  <c:y val="-2.12287074430882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effectLst/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3333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(Bolivie!$B$21,Bolivie!$B$78,Bolivie!$B$99,Bolivie!$B$121,Bolivie!$B$145)</c:f>
              <c:strCache>
                <c:ptCount val="5"/>
                <c:pt idx="0">
                  <c:v>Logement</c:v>
                </c:pt>
                <c:pt idx="1">
                  <c:v>Repas</c:v>
                </c:pt>
                <c:pt idx="2">
                  <c:v>Transports</c:v>
                </c:pt>
                <c:pt idx="3">
                  <c:v>Excursions</c:v>
                </c:pt>
                <c:pt idx="4">
                  <c:v>Autres</c:v>
                </c:pt>
              </c:strCache>
            </c:strRef>
          </c:cat>
          <c:val>
            <c:numRef>
              <c:f>(Bolivie!$E$21,Bolivie!$E$78,Bolivie!$E$99,Bolivie!$E$121,Bolivie!$E$145)</c:f>
              <c:numCache>
                <c:formatCode>#,##0.00</c:formatCode>
                <c:ptCount val="5"/>
                <c:pt idx="0">
                  <c:v>74.389065917594678</c:v>
                </c:pt>
                <c:pt idx="1">
                  <c:v>96.511485893834603</c:v>
                </c:pt>
                <c:pt idx="2">
                  <c:v>52.960573795063652</c:v>
                </c:pt>
                <c:pt idx="3">
                  <c:v>367.61521978082976</c:v>
                </c:pt>
                <c:pt idx="4">
                  <c:v>18.958108963327298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5F2E3"/>
    </a:solidFill>
    <a:ln w="3175">
      <a:solidFill>
        <a:schemeClr val="bg2">
          <a:lumMod val="50000"/>
        </a:schemeClr>
      </a:solidFill>
      <a:prstDash val="solid"/>
    </a:ln>
    <a:effectLst>
      <a:softEdge rad="12700"/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142875</xdr:rowOff>
    </xdr:from>
    <xdr:to>
      <xdr:col>14</xdr:col>
      <xdr:colOff>142875</xdr:colOff>
      <xdr:row>23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DM/Suivi%20Budget%20par%20pay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hthèse"/>
      <sheetName val="Chine"/>
      <sheetName val="Mongolie"/>
      <sheetName val="Tibet"/>
      <sheetName val="Népal"/>
      <sheetName val="Inde"/>
      <sheetName val="Thailande"/>
      <sheetName val="Birmanie"/>
      <sheetName val="Laos"/>
      <sheetName val="Vietnam"/>
      <sheetName val="Cambodge"/>
      <sheetName val="Australie"/>
      <sheetName val="NZ sans extra"/>
      <sheetName val="NZ"/>
      <sheetName val="Ile de Paques"/>
      <sheetName val="Chili"/>
      <sheetName val="Argentine"/>
      <sheetName val="Uruguay"/>
      <sheetName val="Retraits"/>
      <sheetName val="Bolivie"/>
      <sheetName val="Perou"/>
      <sheetName val="Peroue"/>
      <sheetName val="Equateu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BUDGET Bolivie</v>
          </cell>
        </row>
        <row r="21">
          <cell r="B21" t="str">
            <v>Logement</v>
          </cell>
          <cell r="E21">
            <v>74.389065917594678</v>
          </cell>
        </row>
        <row r="78">
          <cell r="B78" t="str">
            <v>Repas</v>
          </cell>
          <cell r="E78">
            <v>96.511485893834603</v>
          </cell>
        </row>
        <row r="99">
          <cell r="B99" t="str">
            <v>Transports</v>
          </cell>
          <cell r="E99">
            <v>52.960573795063652</v>
          </cell>
        </row>
        <row r="121">
          <cell r="B121" t="str">
            <v>Excursions</v>
          </cell>
          <cell r="E121">
            <v>367.61521978082976</v>
          </cell>
        </row>
        <row r="145">
          <cell r="B145" t="str">
            <v>Autres</v>
          </cell>
          <cell r="E145">
            <v>18.958108963327298</v>
          </cell>
        </row>
      </sheetData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6"/>
  <sheetViews>
    <sheetView tabSelected="1" workbookViewId="0"/>
  </sheetViews>
  <sheetFormatPr baseColWidth="10" defaultColWidth="9.140625" defaultRowHeight="12.75" x14ac:dyDescent="0.2"/>
  <cols>
    <col min="1" max="1" width="22" style="2" customWidth="1"/>
    <col min="2" max="2" width="47" style="2" customWidth="1"/>
    <col min="3" max="4" width="16.85546875" style="2" bestFit="1" customWidth="1"/>
    <col min="5" max="5" width="15.140625" style="4" customWidth="1"/>
    <col min="6" max="6" width="14.42578125" style="2" customWidth="1"/>
    <col min="7" max="16384" width="9.140625" style="2"/>
  </cols>
  <sheetData>
    <row r="1" spans="1:6" x14ac:dyDescent="0.2">
      <c r="A1" s="1" t="str">
        <f>"BUDGET "&amp;B3</f>
        <v>BUDGET Bolivie</v>
      </c>
      <c r="C1" s="64"/>
      <c r="D1" s="64"/>
      <c r="E1" s="65"/>
      <c r="F1" s="64"/>
    </row>
    <row r="3" spans="1:6" x14ac:dyDescent="0.2">
      <c r="A3" s="1" t="s">
        <v>0</v>
      </c>
      <c r="B3" s="3" t="s">
        <v>1</v>
      </c>
    </row>
    <row r="4" spans="1:6" x14ac:dyDescent="0.2">
      <c r="A4" s="1" t="s">
        <v>2</v>
      </c>
      <c r="B4" s="3">
        <v>26</v>
      </c>
      <c r="C4" s="2" t="s">
        <v>3</v>
      </c>
    </row>
    <row r="5" spans="1:6" x14ac:dyDescent="0.2">
      <c r="A5" s="1" t="s">
        <v>4</v>
      </c>
      <c r="B5" s="5" t="s">
        <v>5</v>
      </c>
    </row>
    <row r="6" spans="1:6" x14ac:dyDescent="0.2">
      <c r="A6" s="1" t="s">
        <v>6</v>
      </c>
      <c r="B6" s="3">
        <v>9.0067000000000004</v>
      </c>
      <c r="D6" s="6"/>
      <c r="E6" s="7"/>
    </row>
    <row r="7" spans="1:6" x14ac:dyDescent="0.2">
      <c r="A7" s="1" t="s">
        <v>7</v>
      </c>
      <c r="B7" s="8">
        <v>1.29884</v>
      </c>
      <c r="D7" s="6"/>
      <c r="E7" s="7"/>
    </row>
    <row r="8" spans="1:6" ht="13.5" thickBot="1" x14ac:dyDescent="0.25"/>
    <row r="9" spans="1:6" ht="14.25" thickTop="1" thickBot="1" x14ac:dyDescent="0.25">
      <c r="A9" s="9" t="s">
        <v>8</v>
      </c>
      <c r="B9" s="10" t="s">
        <v>9</v>
      </c>
      <c r="C9" s="10" t="s">
        <v>10</v>
      </c>
      <c r="D9" s="10" t="s">
        <v>11</v>
      </c>
      <c r="E9" s="11" t="s">
        <v>12</v>
      </c>
    </row>
    <row r="10" spans="1:6" ht="13.5" thickTop="1" x14ac:dyDescent="0.2">
      <c r="A10" s="12" t="s">
        <v>13</v>
      </c>
      <c r="B10" s="13" t="s">
        <v>14</v>
      </c>
      <c r="C10" s="14"/>
      <c r="D10" s="15">
        <f>100/2</f>
        <v>50</v>
      </c>
      <c r="E10" s="16">
        <f t="shared" ref="E10:E18" si="0">C10/$B$7+D10/$B$6</f>
        <v>5.5514228296712442</v>
      </c>
    </row>
    <row r="11" spans="1:6" x14ac:dyDescent="0.2">
      <c r="A11" s="17" t="s">
        <v>15</v>
      </c>
      <c r="B11" s="18" t="s">
        <v>16</v>
      </c>
      <c r="C11" s="19"/>
      <c r="D11" s="20">
        <v>100</v>
      </c>
      <c r="E11" s="21">
        <f t="shared" si="0"/>
        <v>11.102845659342488</v>
      </c>
    </row>
    <row r="12" spans="1:6" x14ac:dyDescent="0.2">
      <c r="A12" s="17" t="s">
        <v>17</v>
      </c>
      <c r="B12" s="18" t="s">
        <v>18</v>
      </c>
      <c r="C12" s="19"/>
      <c r="D12" s="20">
        <v>40</v>
      </c>
      <c r="E12" s="21">
        <f t="shared" si="0"/>
        <v>4.4411382637369954</v>
      </c>
    </row>
    <row r="13" spans="1:6" x14ac:dyDescent="0.2">
      <c r="A13" s="17" t="s">
        <v>17</v>
      </c>
      <c r="B13" s="18" t="s">
        <v>19</v>
      </c>
      <c r="C13" s="19"/>
      <c r="D13" s="20">
        <v>90</v>
      </c>
      <c r="E13" s="21">
        <f t="shared" si="0"/>
        <v>9.9925610934082396</v>
      </c>
    </row>
    <row r="14" spans="1:6" x14ac:dyDescent="0.2">
      <c r="A14" s="17" t="s">
        <v>20</v>
      </c>
      <c r="B14" s="18" t="s">
        <v>21</v>
      </c>
      <c r="C14" s="19"/>
      <c r="D14" s="20">
        <v>35</v>
      </c>
      <c r="E14" s="21">
        <f t="shared" si="0"/>
        <v>3.885995980769871</v>
      </c>
    </row>
    <row r="15" spans="1:6" x14ac:dyDescent="0.2">
      <c r="A15" s="17" t="s">
        <v>22</v>
      </c>
      <c r="B15" s="18" t="s">
        <v>23</v>
      </c>
      <c r="C15" s="19"/>
      <c r="D15" s="20">
        <v>100</v>
      </c>
      <c r="E15" s="21">
        <f t="shared" si="0"/>
        <v>11.102845659342488</v>
      </c>
    </row>
    <row r="16" spans="1:6" x14ac:dyDescent="0.2">
      <c r="A16" s="17" t="s">
        <v>20</v>
      </c>
      <c r="B16" s="18" t="s">
        <v>24</v>
      </c>
      <c r="C16" s="19"/>
      <c r="D16" s="20">
        <v>70</v>
      </c>
      <c r="E16" s="21">
        <f t="shared" si="0"/>
        <v>7.7719919615397419</v>
      </c>
    </row>
    <row r="17" spans="1:9" x14ac:dyDescent="0.2">
      <c r="A17" s="17" t="s">
        <v>20</v>
      </c>
      <c r="B17" s="18" t="s">
        <v>25</v>
      </c>
      <c r="C17" s="19"/>
      <c r="D17" s="20">
        <v>105</v>
      </c>
      <c r="E17" s="21">
        <f t="shared" si="0"/>
        <v>11.657987942309614</v>
      </c>
    </row>
    <row r="18" spans="1:9" x14ac:dyDescent="0.2">
      <c r="A18" s="17" t="s">
        <v>26</v>
      </c>
      <c r="B18" s="18" t="s">
        <v>27</v>
      </c>
      <c r="C18" s="19"/>
      <c r="D18" s="20">
        <v>80</v>
      </c>
      <c r="E18" s="21">
        <f t="shared" si="0"/>
        <v>8.8822765274739908</v>
      </c>
    </row>
    <row r="19" spans="1:9" x14ac:dyDescent="0.2">
      <c r="A19" s="17"/>
      <c r="B19" s="18"/>
      <c r="C19" s="19"/>
      <c r="D19" s="19"/>
      <c r="E19" s="21"/>
    </row>
    <row r="20" spans="1:9" ht="13.5" thickBot="1" x14ac:dyDescent="0.25">
      <c r="A20" s="22"/>
      <c r="B20" s="23"/>
      <c r="C20" s="24"/>
      <c r="D20" s="24"/>
      <c r="E20" s="25">
        <f>C20/$B$7+D20/$B$6</f>
        <v>0</v>
      </c>
    </row>
    <row r="21" spans="1:9" ht="14.25" thickTop="1" thickBot="1" x14ac:dyDescent="0.25">
      <c r="A21" s="26"/>
      <c r="B21" s="27" t="s">
        <v>28</v>
      </c>
      <c r="C21" s="28" t="s">
        <v>29</v>
      </c>
      <c r="D21" s="29" t="s">
        <v>30</v>
      </c>
      <c r="E21" s="30">
        <f>SUM(E10:E20)</f>
        <v>74.389065917594678</v>
      </c>
    </row>
    <row r="22" spans="1:9" ht="13.5" thickTop="1" x14ac:dyDescent="0.2">
      <c r="B22" s="4"/>
    </row>
    <row r="23" spans="1:9" ht="13.5" thickBot="1" x14ac:dyDescent="0.25">
      <c r="B23" s="4"/>
    </row>
    <row r="24" spans="1:9" ht="14.25" thickTop="1" thickBot="1" x14ac:dyDescent="0.25">
      <c r="A24" s="9" t="s">
        <v>8</v>
      </c>
      <c r="B24" s="10" t="s">
        <v>31</v>
      </c>
      <c r="C24" s="10" t="s">
        <v>10</v>
      </c>
      <c r="D24" s="10" t="s">
        <v>11</v>
      </c>
      <c r="E24" s="11" t="s">
        <v>12</v>
      </c>
    </row>
    <row r="25" spans="1:9" ht="14.25" thickTop="1" thickBot="1" x14ac:dyDescent="0.25">
      <c r="A25" s="12" t="s">
        <v>13</v>
      </c>
      <c r="B25" s="13" t="s">
        <v>32</v>
      </c>
      <c r="C25" s="14"/>
      <c r="D25" s="15">
        <v>12</v>
      </c>
      <c r="E25" s="16">
        <f t="shared" ref="E25:E74" si="1">C25/$B$7+D25/$B$6</f>
        <v>1.3323414791210988</v>
      </c>
    </row>
    <row r="26" spans="1:9" ht="13.5" thickBot="1" x14ac:dyDescent="0.25">
      <c r="A26" s="17" t="s">
        <v>13</v>
      </c>
      <c r="B26" s="18" t="s">
        <v>33</v>
      </c>
      <c r="C26" s="19"/>
      <c r="D26" s="19">
        <f>5.5/2</f>
        <v>2.75</v>
      </c>
      <c r="E26" s="21">
        <f t="shared" si="1"/>
        <v>0.30532825563191845</v>
      </c>
      <c r="G26" s="31" t="s">
        <v>34</v>
      </c>
      <c r="H26" s="32"/>
      <c r="I26" s="33"/>
    </row>
    <row r="27" spans="1:9" ht="13.5" thickBot="1" x14ac:dyDescent="0.25">
      <c r="A27" s="17" t="s">
        <v>15</v>
      </c>
      <c r="B27" s="18" t="s">
        <v>35</v>
      </c>
      <c r="C27" s="19"/>
      <c r="D27" s="20">
        <f>(3+12)/2</f>
        <v>7.5</v>
      </c>
      <c r="E27" s="21">
        <f t="shared" si="1"/>
        <v>0.83271342445068663</v>
      </c>
      <c r="G27" s="34"/>
      <c r="H27" s="35" t="s">
        <v>36</v>
      </c>
      <c r="I27" s="36">
        <f>(E21+E78+E99+E121+E145)/$B$4</f>
        <v>23.478248244255767</v>
      </c>
    </row>
    <row r="28" spans="1:9" x14ac:dyDescent="0.2">
      <c r="A28" s="17" t="s">
        <v>15</v>
      </c>
      <c r="B28" s="18" t="s">
        <v>37</v>
      </c>
      <c r="C28" s="19"/>
      <c r="D28" s="20">
        <f>(6+8+10)/2</f>
        <v>12</v>
      </c>
      <c r="E28" s="21">
        <f t="shared" si="1"/>
        <v>1.3323414791210988</v>
      </c>
      <c r="G28" s="37"/>
      <c r="H28" s="38" t="s">
        <v>38</v>
      </c>
      <c r="I28" s="39">
        <f>E21/B4</f>
        <v>2.8611179199074877</v>
      </c>
    </row>
    <row r="29" spans="1:9" x14ac:dyDescent="0.2">
      <c r="A29" s="17" t="s">
        <v>15</v>
      </c>
      <c r="B29" s="18" t="s">
        <v>39</v>
      </c>
      <c r="C29" s="19"/>
      <c r="D29" s="20">
        <v>8</v>
      </c>
      <c r="E29" s="21">
        <f t="shared" si="1"/>
        <v>0.88822765274739912</v>
      </c>
      <c r="G29" s="40"/>
      <c r="H29" s="41" t="s">
        <v>40</v>
      </c>
      <c r="I29" s="42">
        <f>E78/B4</f>
        <v>3.7119802266859461</v>
      </c>
    </row>
    <row r="30" spans="1:9" x14ac:dyDescent="0.2">
      <c r="A30" s="17" t="s">
        <v>15</v>
      </c>
      <c r="B30" s="18" t="s">
        <v>41</v>
      </c>
      <c r="C30" s="19"/>
      <c r="D30" s="20">
        <f>9/2</f>
        <v>4.5</v>
      </c>
      <c r="E30" s="21">
        <f t="shared" si="1"/>
        <v>0.49962805467041199</v>
      </c>
      <c r="G30" s="40"/>
      <c r="H30" s="41" t="s">
        <v>42</v>
      </c>
      <c r="I30" s="42">
        <f>+E99/B4</f>
        <v>2.0369451459639865</v>
      </c>
    </row>
    <row r="31" spans="1:9" x14ac:dyDescent="0.2">
      <c r="A31" s="17" t="s">
        <v>17</v>
      </c>
      <c r="B31" s="18" t="s">
        <v>43</v>
      </c>
      <c r="C31" s="19"/>
      <c r="D31" s="20">
        <v>4</v>
      </c>
      <c r="E31" s="21">
        <f t="shared" si="1"/>
        <v>0.44411382637369956</v>
      </c>
      <c r="G31" s="40"/>
      <c r="H31" s="43" t="s">
        <v>44</v>
      </c>
      <c r="I31" s="42">
        <f>+E121/B4</f>
        <v>14.139046914647299</v>
      </c>
    </row>
    <row r="32" spans="1:9" ht="13.5" thickBot="1" x14ac:dyDescent="0.25">
      <c r="A32" s="17" t="s">
        <v>17</v>
      </c>
      <c r="B32" s="18" t="s">
        <v>45</v>
      </c>
      <c r="C32" s="19"/>
      <c r="D32" s="20">
        <v>25</v>
      </c>
      <c r="E32" s="21">
        <f t="shared" si="1"/>
        <v>2.7757114148356221</v>
      </c>
      <c r="G32" s="44"/>
      <c r="H32" s="45" t="s">
        <v>46</v>
      </c>
      <c r="I32" s="46">
        <f>+E145/B4</f>
        <v>0.72915803705104998</v>
      </c>
    </row>
    <row r="33" spans="1:9" ht="13.5" thickBot="1" x14ac:dyDescent="0.25">
      <c r="A33" s="17" t="s">
        <v>17</v>
      </c>
      <c r="B33" s="18" t="s">
        <v>47</v>
      </c>
      <c r="C33" s="19"/>
      <c r="D33" s="20">
        <v>8</v>
      </c>
      <c r="E33" s="21">
        <f t="shared" si="1"/>
        <v>0.88822765274739912</v>
      </c>
    </row>
    <row r="34" spans="1:9" x14ac:dyDescent="0.2">
      <c r="A34" s="17" t="s">
        <v>17</v>
      </c>
      <c r="B34" s="18" t="s">
        <v>48</v>
      </c>
      <c r="C34" s="19"/>
      <c r="D34" s="20">
        <f>108/2</f>
        <v>54</v>
      </c>
      <c r="E34" s="21">
        <f t="shared" si="1"/>
        <v>5.9955366560449441</v>
      </c>
      <c r="G34" s="47" t="s">
        <v>49</v>
      </c>
      <c r="H34" s="48"/>
      <c r="I34" s="49">
        <v>0</v>
      </c>
    </row>
    <row r="35" spans="1:9" ht="13.5" thickBot="1" x14ac:dyDescent="0.25">
      <c r="A35" s="17" t="s">
        <v>17</v>
      </c>
      <c r="B35" s="18" t="s">
        <v>50</v>
      </c>
      <c r="C35" s="19"/>
      <c r="D35" s="20">
        <f>56/2</f>
        <v>28</v>
      </c>
      <c r="E35" s="21">
        <f t="shared" si="1"/>
        <v>3.108796784615897</v>
      </c>
    </row>
    <row r="36" spans="1:9" ht="13.5" thickBot="1" x14ac:dyDescent="0.25">
      <c r="A36" s="17" t="s">
        <v>17</v>
      </c>
      <c r="B36" s="18" t="s">
        <v>51</v>
      </c>
      <c r="C36" s="19"/>
      <c r="D36" s="20">
        <f>(16+3.5)/2</f>
        <v>9.75</v>
      </c>
      <c r="E36" s="21">
        <f t="shared" si="1"/>
        <v>1.0825274517858927</v>
      </c>
      <c r="G36" s="34"/>
      <c r="H36" s="35" t="s">
        <v>36</v>
      </c>
      <c r="I36" s="36">
        <f>I27*$B$4+I34</f>
        <v>610.43445435064996</v>
      </c>
    </row>
    <row r="37" spans="1:9" ht="13.5" thickBot="1" x14ac:dyDescent="0.25">
      <c r="A37" s="17" t="s">
        <v>17</v>
      </c>
      <c r="B37" s="18" t="s">
        <v>52</v>
      </c>
      <c r="C37" s="19"/>
      <c r="D37" s="20">
        <f>(12+2+3+3)/2</f>
        <v>10</v>
      </c>
      <c r="E37" s="21">
        <f t="shared" si="1"/>
        <v>1.1102845659342488</v>
      </c>
    </row>
    <row r="38" spans="1:9" ht="13.5" thickBot="1" x14ac:dyDescent="0.25">
      <c r="A38" s="17" t="s">
        <v>17</v>
      </c>
      <c r="B38" s="18" t="s">
        <v>53</v>
      </c>
      <c r="C38" s="19"/>
      <c r="D38" s="19">
        <f>(21+21.5+16)/2</f>
        <v>29.25</v>
      </c>
      <c r="E38" s="21">
        <f t="shared" si="1"/>
        <v>3.2475823553576779</v>
      </c>
      <c r="G38" s="31" t="s">
        <v>54</v>
      </c>
      <c r="H38" s="32"/>
      <c r="I38" s="33"/>
    </row>
    <row r="39" spans="1:9" ht="13.5" thickBot="1" x14ac:dyDescent="0.25">
      <c r="A39" s="17" t="s">
        <v>17</v>
      </c>
      <c r="B39" s="18" t="s">
        <v>55</v>
      </c>
      <c r="C39" s="19"/>
      <c r="D39" s="19">
        <f>(6+8+3.5)/2</f>
        <v>8.75</v>
      </c>
      <c r="E39" s="21">
        <f t="shared" si="1"/>
        <v>0.97149899519246774</v>
      </c>
      <c r="G39" s="34"/>
      <c r="H39" s="35" t="s">
        <v>36</v>
      </c>
      <c r="I39" s="36">
        <f>40*$B$4</f>
        <v>1040</v>
      </c>
    </row>
    <row r="40" spans="1:9" ht="13.5" thickBot="1" x14ac:dyDescent="0.25">
      <c r="A40" s="17" t="s">
        <v>17</v>
      </c>
      <c r="B40" s="18" t="s">
        <v>56</v>
      </c>
      <c r="C40" s="19"/>
      <c r="D40" s="20">
        <f>(22+11)/2</f>
        <v>16.5</v>
      </c>
      <c r="E40" s="21">
        <f t="shared" si="1"/>
        <v>1.8319695337915107</v>
      </c>
      <c r="I40" s="50">
        <f>I39-I36</f>
        <v>429.56554564935004</v>
      </c>
    </row>
    <row r="41" spans="1:9" x14ac:dyDescent="0.2">
      <c r="A41" s="17" t="s">
        <v>17</v>
      </c>
      <c r="B41" s="18" t="s">
        <v>57</v>
      </c>
      <c r="C41" s="19"/>
      <c r="D41" s="20">
        <v>8</v>
      </c>
      <c r="E41" s="21">
        <f t="shared" si="1"/>
        <v>0.88822765274739912</v>
      </c>
    </row>
    <row r="42" spans="1:9" x14ac:dyDescent="0.2">
      <c r="A42" s="17" t="s">
        <v>20</v>
      </c>
      <c r="B42" s="18" t="s">
        <v>58</v>
      </c>
      <c r="C42" s="19"/>
      <c r="D42" s="20">
        <v>6</v>
      </c>
      <c r="E42" s="21">
        <f t="shared" si="1"/>
        <v>0.6661707395605494</v>
      </c>
      <c r="G42" s="40" t="s">
        <v>59</v>
      </c>
      <c r="H42" s="41"/>
      <c r="I42" s="42">
        <v>0</v>
      </c>
    </row>
    <row r="43" spans="1:9" ht="13.5" thickBot="1" x14ac:dyDescent="0.25">
      <c r="A43" s="17" t="s">
        <v>20</v>
      </c>
      <c r="B43" s="18" t="s">
        <v>60</v>
      </c>
      <c r="C43" s="19"/>
      <c r="D43" s="20">
        <v>12</v>
      </c>
      <c r="E43" s="21">
        <f t="shared" si="1"/>
        <v>1.3323414791210988</v>
      </c>
    </row>
    <row r="44" spans="1:9" ht="13.5" thickBot="1" x14ac:dyDescent="0.25">
      <c r="A44" s="17" t="s">
        <v>20</v>
      </c>
      <c r="B44" s="18" t="s">
        <v>61</v>
      </c>
      <c r="C44" s="19"/>
      <c r="D44" s="20">
        <v>40</v>
      </c>
      <c r="E44" s="21">
        <f t="shared" si="1"/>
        <v>4.4411382637369954</v>
      </c>
      <c r="G44" s="34"/>
      <c r="H44" s="35" t="s">
        <v>36</v>
      </c>
      <c r="I44" s="36">
        <f>I42+I36</f>
        <v>610.43445435064996</v>
      </c>
    </row>
    <row r="45" spans="1:9" ht="13.5" thickBot="1" x14ac:dyDescent="0.25">
      <c r="A45" s="17" t="s">
        <v>20</v>
      </c>
      <c r="B45" s="18" t="s">
        <v>62</v>
      </c>
      <c r="C45" s="19"/>
      <c r="D45" s="20">
        <v>6</v>
      </c>
      <c r="E45" s="21">
        <f t="shared" si="1"/>
        <v>0.6661707395605494</v>
      </c>
    </row>
    <row r="46" spans="1:9" ht="13.5" thickBot="1" x14ac:dyDescent="0.25">
      <c r="A46" s="17" t="s">
        <v>20</v>
      </c>
      <c r="B46" s="18" t="s">
        <v>63</v>
      </c>
      <c r="C46" s="19"/>
      <c r="D46" s="20">
        <f>33/2</f>
        <v>16.5</v>
      </c>
      <c r="E46" s="21">
        <f t="shared" si="1"/>
        <v>1.8319695337915107</v>
      </c>
      <c r="G46" s="31" t="s">
        <v>54</v>
      </c>
      <c r="H46" s="32"/>
      <c r="I46" s="33"/>
    </row>
    <row r="47" spans="1:9" ht="13.5" thickBot="1" x14ac:dyDescent="0.25">
      <c r="A47" s="17" t="s">
        <v>20</v>
      </c>
      <c r="B47" s="18" t="s">
        <v>64</v>
      </c>
      <c r="C47" s="19"/>
      <c r="D47" s="20">
        <f>23/2</f>
        <v>11.5</v>
      </c>
      <c r="E47" s="21">
        <f t="shared" si="1"/>
        <v>1.2768272508243863</v>
      </c>
      <c r="G47" s="34"/>
      <c r="H47" s="35" t="s">
        <v>36</v>
      </c>
      <c r="I47" s="36">
        <f>I39+100</f>
        <v>1140</v>
      </c>
    </row>
    <row r="48" spans="1:9" ht="13.5" thickBot="1" x14ac:dyDescent="0.25">
      <c r="A48" s="17" t="s">
        <v>22</v>
      </c>
      <c r="B48" s="18" t="s">
        <v>65</v>
      </c>
      <c r="C48" s="19"/>
      <c r="D48" s="20">
        <f>(17.5+6)/2</f>
        <v>11.75</v>
      </c>
      <c r="E48" s="21">
        <f t="shared" si="1"/>
        <v>1.3045843649727424</v>
      </c>
      <c r="I48" s="50">
        <f>I47-I44</f>
        <v>529.56554564935004</v>
      </c>
    </row>
    <row r="49" spans="1:5" x14ac:dyDescent="0.2">
      <c r="A49" s="17" t="s">
        <v>22</v>
      </c>
      <c r="B49" s="18" t="s">
        <v>66</v>
      </c>
      <c r="C49" s="19"/>
      <c r="D49" s="20">
        <f>35/2</f>
        <v>17.5</v>
      </c>
      <c r="E49" s="21">
        <f t="shared" si="1"/>
        <v>1.9429979903849355</v>
      </c>
    </row>
    <row r="50" spans="1:5" x14ac:dyDescent="0.2">
      <c r="A50" s="17" t="s">
        <v>22</v>
      </c>
      <c r="B50" s="18" t="s">
        <v>67</v>
      </c>
      <c r="C50" s="19"/>
      <c r="D50" s="20">
        <v>4.5</v>
      </c>
      <c r="E50" s="21">
        <f t="shared" si="1"/>
        <v>0.49962805467041199</v>
      </c>
    </row>
    <row r="51" spans="1:5" x14ac:dyDescent="0.2">
      <c r="A51" s="17" t="s">
        <v>22</v>
      </c>
      <c r="B51" s="18" t="s">
        <v>68</v>
      </c>
      <c r="C51" s="19"/>
      <c r="D51" s="20">
        <v>25</v>
      </c>
      <c r="E51" s="21">
        <f t="shared" si="1"/>
        <v>2.7757114148356221</v>
      </c>
    </row>
    <row r="52" spans="1:5" x14ac:dyDescent="0.2">
      <c r="A52" s="17" t="s">
        <v>22</v>
      </c>
      <c r="B52" s="18" t="s">
        <v>69</v>
      </c>
      <c r="C52" s="19"/>
      <c r="D52" s="20">
        <f>95/2</f>
        <v>47.5</v>
      </c>
      <c r="E52" s="21">
        <f t="shared" si="1"/>
        <v>5.2738516881876825</v>
      </c>
    </row>
    <row r="53" spans="1:5" x14ac:dyDescent="0.2">
      <c r="A53" s="17" t="s">
        <v>22</v>
      </c>
      <c r="B53" s="18" t="s">
        <v>70</v>
      </c>
      <c r="C53" s="19"/>
      <c r="D53" s="20">
        <f>(2+2.5+15+2)/2</f>
        <v>10.75</v>
      </c>
      <c r="E53" s="21">
        <f t="shared" si="1"/>
        <v>1.1935559083793175</v>
      </c>
    </row>
    <row r="54" spans="1:5" x14ac:dyDescent="0.2">
      <c r="A54" s="17" t="s">
        <v>71</v>
      </c>
      <c r="B54" s="18" t="s">
        <v>72</v>
      </c>
      <c r="C54" s="19"/>
      <c r="D54" s="20">
        <v>6</v>
      </c>
      <c r="E54" s="21">
        <f t="shared" si="1"/>
        <v>0.6661707395605494</v>
      </c>
    </row>
    <row r="55" spans="1:5" x14ac:dyDescent="0.2">
      <c r="A55" s="17" t="s">
        <v>20</v>
      </c>
      <c r="B55" s="18" t="s">
        <v>73</v>
      </c>
      <c r="C55" s="19"/>
      <c r="D55" s="20">
        <f>(24+5)/2</f>
        <v>14.5</v>
      </c>
      <c r="E55" s="21">
        <f t="shared" si="1"/>
        <v>1.609912620604661</v>
      </c>
    </row>
    <row r="56" spans="1:5" x14ac:dyDescent="0.2">
      <c r="A56" s="17" t="s">
        <v>20</v>
      </c>
      <c r="B56" s="18" t="s">
        <v>74</v>
      </c>
      <c r="C56" s="19"/>
      <c r="D56" s="20">
        <f>28/2</f>
        <v>14</v>
      </c>
      <c r="E56" s="21">
        <f t="shared" si="1"/>
        <v>1.5543983923079485</v>
      </c>
    </row>
    <row r="57" spans="1:5" x14ac:dyDescent="0.2">
      <c r="A57" s="17" t="s">
        <v>20</v>
      </c>
      <c r="B57" s="18" t="s">
        <v>75</v>
      </c>
      <c r="C57" s="19"/>
      <c r="D57" s="20">
        <f>(14.5+3)/2</f>
        <v>8.75</v>
      </c>
      <c r="E57" s="21">
        <f t="shared" si="1"/>
        <v>0.97149899519246774</v>
      </c>
    </row>
    <row r="58" spans="1:5" x14ac:dyDescent="0.2">
      <c r="A58" s="17" t="s">
        <v>20</v>
      </c>
      <c r="B58" s="18" t="s">
        <v>76</v>
      </c>
      <c r="C58" s="19"/>
      <c r="D58" s="20">
        <v>15</v>
      </c>
      <c r="E58" s="21">
        <f t="shared" si="1"/>
        <v>1.6654268489013733</v>
      </c>
    </row>
    <row r="59" spans="1:5" x14ac:dyDescent="0.2">
      <c r="A59" s="17" t="s">
        <v>20</v>
      </c>
      <c r="B59" s="18" t="s">
        <v>74</v>
      </c>
      <c r="C59" s="19"/>
      <c r="D59" s="20">
        <f>21/2</f>
        <v>10.5</v>
      </c>
      <c r="E59" s="21">
        <f t="shared" si="1"/>
        <v>1.1657987942309613</v>
      </c>
    </row>
    <row r="60" spans="1:5" x14ac:dyDescent="0.2">
      <c r="A60" s="17" t="s">
        <v>20</v>
      </c>
      <c r="B60" s="18" t="s">
        <v>77</v>
      </c>
      <c r="C60" s="19"/>
      <c r="D60" s="20">
        <f>42/2</f>
        <v>21</v>
      </c>
      <c r="E60" s="21">
        <f t="shared" si="1"/>
        <v>2.3315975884619227</v>
      </c>
    </row>
    <row r="61" spans="1:5" x14ac:dyDescent="0.2">
      <c r="A61" s="17" t="s">
        <v>20</v>
      </c>
      <c r="B61" s="18" t="s">
        <v>78</v>
      </c>
      <c r="C61" s="19"/>
      <c r="D61" s="20">
        <v>4</v>
      </c>
      <c r="E61" s="21">
        <f t="shared" si="1"/>
        <v>0.44411382637369956</v>
      </c>
    </row>
    <row r="62" spans="1:5" x14ac:dyDescent="0.2">
      <c r="A62" s="17" t="s">
        <v>20</v>
      </c>
      <c r="B62" s="18" t="s">
        <v>79</v>
      </c>
      <c r="C62" s="19"/>
      <c r="D62" s="20">
        <f>27/2</f>
        <v>13.5</v>
      </c>
      <c r="E62" s="21">
        <f t="shared" si="1"/>
        <v>1.498884164011236</v>
      </c>
    </row>
    <row r="63" spans="1:5" x14ac:dyDescent="0.2">
      <c r="A63" s="17" t="s">
        <v>20</v>
      </c>
      <c r="B63" s="18" t="s">
        <v>74</v>
      </c>
      <c r="C63" s="19"/>
      <c r="D63" s="20">
        <v>12</v>
      </c>
      <c r="E63" s="21">
        <f t="shared" si="1"/>
        <v>1.3323414791210988</v>
      </c>
    </row>
    <row r="64" spans="1:5" x14ac:dyDescent="0.2">
      <c r="A64" s="17" t="s">
        <v>20</v>
      </c>
      <c r="B64" s="18" t="s">
        <v>80</v>
      </c>
      <c r="C64" s="19"/>
      <c r="D64" s="20">
        <v>40</v>
      </c>
      <c r="E64" s="21">
        <f t="shared" si="1"/>
        <v>4.4411382637369954</v>
      </c>
    </row>
    <row r="65" spans="1:5" x14ac:dyDescent="0.2">
      <c r="A65" s="17" t="s">
        <v>20</v>
      </c>
      <c r="B65" s="18" t="s">
        <v>75</v>
      </c>
      <c r="C65" s="19"/>
      <c r="D65" s="20">
        <f>11.5/2</f>
        <v>5.75</v>
      </c>
      <c r="E65" s="21">
        <f t="shared" si="1"/>
        <v>0.63841362541219315</v>
      </c>
    </row>
    <row r="66" spans="1:5" x14ac:dyDescent="0.2">
      <c r="A66" s="17" t="s">
        <v>20</v>
      </c>
      <c r="B66" s="18" t="s">
        <v>81</v>
      </c>
      <c r="C66" s="19"/>
      <c r="D66" s="20">
        <f>(3.5*3+16)/2</f>
        <v>13.25</v>
      </c>
      <c r="E66" s="21">
        <f t="shared" si="1"/>
        <v>1.4711270498628799</v>
      </c>
    </row>
    <row r="67" spans="1:5" x14ac:dyDescent="0.2">
      <c r="A67" s="17" t="s">
        <v>20</v>
      </c>
      <c r="B67" s="18" t="s">
        <v>82</v>
      </c>
      <c r="C67" s="19"/>
      <c r="D67" s="20">
        <f>11/2</f>
        <v>5.5</v>
      </c>
      <c r="E67" s="21">
        <f t="shared" si="1"/>
        <v>0.61065651126383691</v>
      </c>
    </row>
    <row r="68" spans="1:5" x14ac:dyDescent="0.2">
      <c r="A68" s="17" t="s">
        <v>20</v>
      </c>
      <c r="B68" s="18" t="s">
        <v>72</v>
      </c>
      <c r="C68" s="19"/>
      <c r="D68" s="20">
        <f>29/2</f>
        <v>14.5</v>
      </c>
      <c r="E68" s="21">
        <f t="shared" si="1"/>
        <v>1.609912620604661</v>
      </c>
    </row>
    <row r="69" spans="1:5" x14ac:dyDescent="0.2">
      <c r="A69" s="17" t="s">
        <v>20</v>
      </c>
      <c r="B69" s="18" t="s">
        <v>83</v>
      </c>
      <c r="C69" s="19"/>
      <c r="D69" s="20">
        <f>(3.5*6+2)/2</f>
        <v>11.5</v>
      </c>
      <c r="E69" s="21">
        <f t="shared" si="1"/>
        <v>1.2768272508243863</v>
      </c>
    </row>
    <row r="70" spans="1:5" x14ac:dyDescent="0.2">
      <c r="A70" s="17" t="s">
        <v>26</v>
      </c>
      <c r="B70" s="18" t="s">
        <v>84</v>
      </c>
      <c r="C70" s="19"/>
      <c r="D70" s="20">
        <f>55/2</f>
        <v>27.5</v>
      </c>
      <c r="E70" s="21">
        <f t="shared" si="1"/>
        <v>3.0532825563191843</v>
      </c>
    </row>
    <row r="71" spans="1:5" x14ac:dyDescent="0.2">
      <c r="A71" s="17" t="s">
        <v>26</v>
      </c>
      <c r="B71" s="18" t="s">
        <v>85</v>
      </c>
      <c r="C71" s="19"/>
      <c r="D71" s="20">
        <f>(12+2)/2</f>
        <v>7</v>
      </c>
      <c r="E71" s="21">
        <f t="shared" si="1"/>
        <v>0.77719919615397426</v>
      </c>
    </row>
    <row r="72" spans="1:5" x14ac:dyDescent="0.2">
      <c r="A72" s="17" t="s">
        <v>26</v>
      </c>
      <c r="B72" s="18" t="s">
        <v>86</v>
      </c>
      <c r="C72" s="19"/>
      <c r="D72" s="20">
        <f>215/2</f>
        <v>107.5</v>
      </c>
      <c r="E72" s="21">
        <f t="shared" si="1"/>
        <v>11.935559083793176</v>
      </c>
    </row>
    <row r="73" spans="1:5" x14ac:dyDescent="0.2">
      <c r="A73" s="17" t="s">
        <v>26</v>
      </c>
      <c r="B73" s="18" t="s">
        <v>87</v>
      </c>
      <c r="C73" s="19"/>
      <c r="D73" s="20">
        <f>79/2</f>
        <v>39.5</v>
      </c>
      <c r="E73" s="21">
        <f t="shared" si="1"/>
        <v>4.3856240354402836</v>
      </c>
    </row>
    <row r="74" spans="1:5" x14ac:dyDescent="0.2">
      <c r="A74" s="17" t="s">
        <v>26</v>
      </c>
      <c r="B74" s="18" t="s">
        <v>88</v>
      </c>
      <c r="C74" s="19"/>
      <c r="D74" s="20">
        <f>(12+10+7+5+3+5)/2</f>
        <v>21</v>
      </c>
      <c r="E74" s="21">
        <f t="shared" si="1"/>
        <v>2.3315975884619227</v>
      </c>
    </row>
    <row r="75" spans="1:5" x14ac:dyDescent="0.2">
      <c r="A75" s="17"/>
      <c r="B75" s="18"/>
      <c r="C75" s="19"/>
      <c r="D75" s="20"/>
      <c r="E75" s="21"/>
    </row>
    <row r="76" spans="1:5" x14ac:dyDescent="0.2">
      <c r="A76" s="17"/>
      <c r="B76" s="18"/>
      <c r="C76" s="19"/>
      <c r="D76" s="19"/>
      <c r="E76" s="21"/>
    </row>
    <row r="77" spans="1:5" ht="13.5" thickBot="1" x14ac:dyDescent="0.25">
      <c r="A77" s="22"/>
      <c r="B77" s="23"/>
      <c r="C77" s="24"/>
      <c r="D77" s="24"/>
      <c r="E77" s="25"/>
    </row>
    <row r="78" spans="1:5" ht="14.25" thickTop="1" thickBot="1" x14ac:dyDescent="0.25">
      <c r="B78" s="28" t="s">
        <v>29</v>
      </c>
      <c r="C78" s="28" t="s">
        <v>29</v>
      </c>
      <c r="D78" s="51" t="s">
        <v>89</v>
      </c>
      <c r="E78" s="52">
        <f>SUM(E25:E77)</f>
        <v>96.511485893834603</v>
      </c>
    </row>
    <row r="79" spans="1:5" ht="14.25" thickTop="1" thickBot="1" x14ac:dyDescent="0.25">
      <c r="B79" s="4"/>
    </row>
    <row r="80" spans="1:5" ht="14.25" thickTop="1" thickBot="1" x14ac:dyDescent="0.25">
      <c r="A80" s="9" t="s">
        <v>90</v>
      </c>
      <c r="B80" s="10" t="s">
        <v>91</v>
      </c>
      <c r="C80" s="10" t="s">
        <v>10</v>
      </c>
      <c r="D80" s="10" t="s">
        <v>11</v>
      </c>
      <c r="E80" s="11" t="s">
        <v>12</v>
      </c>
    </row>
    <row r="81" spans="1:5" ht="13.5" thickTop="1" x14ac:dyDescent="0.2">
      <c r="A81" s="12" t="s">
        <v>92</v>
      </c>
      <c r="B81" s="53" t="s">
        <v>93</v>
      </c>
      <c r="C81" s="14"/>
      <c r="D81" s="15">
        <v>20</v>
      </c>
      <c r="E81" s="16">
        <f t="shared" ref="E81:E98" si="2">C81/$B$7+D81/$B$6</f>
        <v>2.2205691318684977</v>
      </c>
    </row>
    <row r="82" spans="1:5" x14ac:dyDescent="0.2">
      <c r="A82" s="17" t="s">
        <v>94</v>
      </c>
      <c r="B82" s="54" t="s">
        <v>95</v>
      </c>
      <c r="C82" s="19"/>
      <c r="D82" s="20">
        <v>30</v>
      </c>
      <c r="E82" s="21">
        <f t="shared" si="2"/>
        <v>3.3308536978027465</v>
      </c>
    </row>
    <row r="83" spans="1:5" x14ac:dyDescent="0.2">
      <c r="A83" s="17" t="s">
        <v>96</v>
      </c>
      <c r="B83" s="54" t="s">
        <v>97</v>
      </c>
      <c r="C83" s="19"/>
      <c r="D83" s="20">
        <v>1.25</v>
      </c>
      <c r="E83" s="21">
        <f t="shared" si="2"/>
        <v>0.13878557074178111</v>
      </c>
    </row>
    <row r="84" spans="1:5" x14ac:dyDescent="0.2">
      <c r="A84" s="17" t="s">
        <v>96</v>
      </c>
      <c r="B84" s="54" t="s">
        <v>98</v>
      </c>
      <c r="C84" s="19"/>
      <c r="D84" s="20">
        <v>1.25</v>
      </c>
      <c r="E84" s="21">
        <f t="shared" si="2"/>
        <v>0.13878557074178111</v>
      </c>
    </row>
    <row r="85" spans="1:5" x14ac:dyDescent="0.2">
      <c r="A85" s="17" t="s">
        <v>94</v>
      </c>
      <c r="B85" s="54" t="s">
        <v>99</v>
      </c>
      <c r="C85" s="19"/>
      <c r="D85" s="20">
        <v>17</v>
      </c>
      <c r="E85" s="21">
        <f t="shared" si="2"/>
        <v>1.8874837620882232</v>
      </c>
    </row>
    <row r="86" spans="1:5" x14ac:dyDescent="0.2">
      <c r="A86" s="17" t="s">
        <v>96</v>
      </c>
      <c r="B86" s="54" t="s">
        <v>100</v>
      </c>
      <c r="C86" s="19"/>
      <c r="D86" s="20">
        <v>1.5</v>
      </c>
      <c r="E86" s="21">
        <f t="shared" si="2"/>
        <v>0.16654268489013735</v>
      </c>
    </row>
    <row r="87" spans="1:5" x14ac:dyDescent="0.2">
      <c r="A87" s="17" t="s">
        <v>94</v>
      </c>
      <c r="B87" s="54" t="s">
        <v>101</v>
      </c>
      <c r="C87" s="19"/>
      <c r="D87" s="20">
        <v>90</v>
      </c>
      <c r="E87" s="21">
        <f t="shared" si="2"/>
        <v>9.9925610934082396</v>
      </c>
    </row>
    <row r="88" spans="1:5" x14ac:dyDescent="0.2">
      <c r="A88" s="17" t="s">
        <v>102</v>
      </c>
      <c r="B88" s="54" t="s">
        <v>103</v>
      </c>
      <c r="C88" s="19"/>
      <c r="D88" s="20">
        <v>2.5</v>
      </c>
      <c r="E88" s="21">
        <f t="shared" si="2"/>
        <v>0.27757114148356221</v>
      </c>
    </row>
    <row r="89" spans="1:5" x14ac:dyDescent="0.2">
      <c r="A89" s="17" t="s">
        <v>96</v>
      </c>
      <c r="B89" s="54" t="s">
        <v>104</v>
      </c>
      <c r="C89" s="19"/>
      <c r="D89" s="20">
        <v>1.5</v>
      </c>
      <c r="E89" s="21">
        <f t="shared" si="2"/>
        <v>0.16654268489013735</v>
      </c>
    </row>
    <row r="90" spans="1:5" x14ac:dyDescent="0.2">
      <c r="A90" s="17" t="s">
        <v>94</v>
      </c>
      <c r="B90" s="54" t="s">
        <v>105</v>
      </c>
      <c r="C90" s="19"/>
      <c r="D90" s="20">
        <v>74</v>
      </c>
      <c r="E90" s="21">
        <f t="shared" si="2"/>
        <v>8.2161057879134418</v>
      </c>
    </row>
    <row r="91" spans="1:5" x14ac:dyDescent="0.2">
      <c r="A91" s="17" t="s">
        <v>94</v>
      </c>
      <c r="B91" s="54" t="s">
        <v>106</v>
      </c>
      <c r="C91" s="19"/>
      <c r="D91" s="20">
        <v>70</v>
      </c>
      <c r="E91" s="21">
        <f t="shared" si="2"/>
        <v>7.7719919615397419</v>
      </c>
    </row>
    <row r="92" spans="1:5" x14ac:dyDescent="0.2">
      <c r="A92" s="17" t="s">
        <v>102</v>
      </c>
      <c r="B92" s="54" t="s">
        <v>107</v>
      </c>
      <c r="C92" s="19"/>
      <c r="D92" s="20">
        <v>2</v>
      </c>
      <c r="E92" s="21">
        <f t="shared" si="2"/>
        <v>0.22205691318684978</v>
      </c>
    </row>
    <row r="93" spans="1:5" x14ac:dyDescent="0.2">
      <c r="A93" s="17" t="s">
        <v>96</v>
      </c>
      <c r="B93" s="54" t="s">
        <v>108</v>
      </c>
      <c r="C93" s="19"/>
      <c r="D93" s="20">
        <v>2</v>
      </c>
      <c r="E93" s="21">
        <f t="shared" si="2"/>
        <v>0.22205691318684978</v>
      </c>
    </row>
    <row r="94" spans="1:5" x14ac:dyDescent="0.2">
      <c r="A94" s="17" t="s">
        <v>94</v>
      </c>
      <c r="B94" s="54" t="s">
        <v>109</v>
      </c>
      <c r="C94" s="19"/>
      <c r="D94" s="20">
        <v>30</v>
      </c>
      <c r="E94" s="21">
        <f t="shared" si="2"/>
        <v>3.3308536978027465</v>
      </c>
    </row>
    <row r="95" spans="1:5" x14ac:dyDescent="0.2">
      <c r="A95" s="17" t="s">
        <v>102</v>
      </c>
      <c r="B95" s="54" t="s">
        <v>110</v>
      </c>
      <c r="C95" s="19"/>
      <c r="D95" s="20">
        <v>2</v>
      </c>
      <c r="E95" s="21">
        <f t="shared" si="2"/>
        <v>0.22205691318684978</v>
      </c>
    </row>
    <row r="96" spans="1:5" x14ac:dyDescent="0.2">
      <c r="A96" s="17" t="s">
        <v>111</v>
      </c>
      <c r="B96" s="54" t="s">
        <v>112</v>
      </c>
      <c r="C96" s="19"/>
      <c r="D96" s="20">
        <v>2</v>
      </c>
      <c r="E96" s="21">
        <f t="shared" si="2"/>
        <v>0.22205691318684978</v>
      </c>
    </row>
    <row r="97" spans="1:5" x14ac:dyDescent="0.2">
      <c r="A97" s="17" t="s">
        <v>111</v>
      </c>
      <c r="B97" s="54" t="s">
        <v>113</v>
      </c>
      <c r="C97" s="19"/>
      <c r="D97" s="20">
        <v>30</v>
      </c>
      <c r="E97" s="21">
        <f t="shared" si="2"/>
        <v>3.3308536978027465</v>
      </c>
    </row>
    <row r="98" spans="1:5" ht="13.5" thickBot="1" x14ac:dyDescent="0.25">
      <c r="A98" s="22" t="s">
        <v>94</v>
      </c>
      <c r="B98" s="55" t="s">
        <v>114</v>
      </c>
      <c r="C98" s="24"/>
      <c r="D98" s="56">
        <v>100</v>
      </c>
      <c r="E98" s="57">
        <f t="shared" si="2"/>
        <v>11.102845659342488</v>
      </c>
    </row>
    <row r="99" spans="1:5" ht="14.25" thickTop="1" thickBot="1" x14ac:dyDescent="0.25">
      <c r="A99" s="26"/>
      <c r="B99" s="27" t="s">
        <v>115</v>
      </c>
      <c r="C99" s="28" t="s">
        <v>29</v>
      </c>
      <c r="D99" s="58" t="s">
        <v>116</v>
      </c>
      <c r="E99" s="59">
        <f>SUM(E81:E98)</f>
        <v>52.960573795063652</v>
      </c>
    </row>
    <row r="100" spans="1:5" ht="14.25" thickTop="1" thickBot="1" x14ac:dyDescent="0.25">
      <c r="B100" s="4"/>
    </row>
    <row r="101" spans="1:5" ht="14.25" thickTop="1" thickBot="1" x14ac:dyDescent="0.25">
      <c r="A101" s="9" t="s">
        <v>8</v>
      </c>
      <c r="B101" s="10" t="s">
        <v>117</v>
      </c>
      <c r="C101" s="10" t="s">
        <v>10</v>
      </c>
      <c r="D101" s="10" t="s">
        <v>11</v>
      </c>
      <c r="E101" s="11" t="s">
        <v>12</v>
      </c>
    </row>
    <row r="102" spans="1:5" ht="13.5" thickTop="1" x14ac:dyDescent="0.2">
      <c r="A102" s="12" t="s">
        <v>13</v>
      </c>
      <c r="B102" s="13" t="s">
        <v>118</v>
      </c>
      <c r="C102" s="14"/>
      <c r="D102" s="15">
        <v>1250</v>
      </c>
      <c r="E102" s="16">
        <f t="shared" ref="E102:E119" si="3">C102/$B$7+D102/$B$6</f>
        <v>138.7855707417811</v>
      </c>
    </row>
    <row r="103" spans="1:5" x14ac:dyDescent="0.2">
      <c r="A103" s="17" t="s">
        <v>119</v>
      </c>
      <c r="B103" s="18" t="s">
        <v>120</v>
      </c>
      <c r="C103" s="19"/>
      <c r="D103" s="20">
        <f>150+30</f>
        <v>180</v>
      </c>
      <c r="E103" s="21">
        <f t="shared" si="3"/>
        <v>19.985122186816479</v>
      </c>
    </row>
    <row r="104" spans="1:5" x14ac:dyDescent="0.2">
      <c r="A104" s="17" t="s">
        <v>119</v>
      </c>
      <c r="B104" s="18" t="s">
        <v>121</v>
      </c>
      <c r="C104" s="19"/>
      <c r="D104" s="20">
        <v>10</v>
      </c>
      <c r="E104" s="21">
        <f t="shared" si="3"/>
        <v>1.1102845659342488</v>
      </c>
    </row>
    <row r="105" spans="1:5" x14ac:dyDescent="0.2">
      <c r="A105" s="17" t="s">
        <v>15</v>
      </c>
      <c r="B105" s="18" t="s">
        <v>122</v>
      </c>
      <c r="C105" s="19"/>
      <c r="D105" s="20">
        <v>40</v>
      </c>
      <c r="E105" s="21">
        <f t="shared" si="3"/>
        <v>4.4411382637369954</v>
      </c>
    </row>
    <row r="106" spans="1:5" x14ac:dyDescent="0.2">
      <c r="A106" s="17" t="s">
        <v>15</v>
      </c>
      <c r="B106" s="18" t="s">
        <v>123</v>
      </c>
      <c r="C106" s="19"/>
      <c r="D106" s="20">
        <v>100</v>
      </c>
      <c r="E106" s="21">
        <f t="shared" si="3"/>
        <v>11.102845659342488</v>
      </c>
    </row>
    <row r="107" spans="1:5" x14ac:dyDescent="0.2">
      <c r="A107" s="17" t="s">
        <v>15</v>
      </c>
      <c r="B107" s="18" t="s">
        <v>124</v>
      </c>
      <c r="C107" s="19"/>
      <c r="D107" s="20">
        <f>35/2</f>
        <v>17.5</v>
      </c>
      <c r="E107" s="21">
        <f t="shared" si="3"/>
        <v>1.9429979903849355</v>
      </c>
    </row>
    <row r="108" spans="1:5" x14ac:dyDescent="0.2">
      <c r="A108" s="17" t="s">
        <v>17</v>
      </c>
      <c r="B108" s="18" t="s">
        <v>125</v>
      </c>
      <c r="C108" s="19"/>
      <c r="D108" s="20">
        <v>15</v>
      </c>
      <c r="E108" s="21">
        <f t="shared" si="3"/>
        <v>1.6654268489013733</v>
      </c>
    </row>
    <row r="109" spans="1:5" x14ac:dyDescent="0.2">
      <c r="A109" s="17" t="s">
        <v>17</v>
      </c>
      <c r="B109" s="18" t="s">
        <v>126</v>
      </c>
      <c r="C109" s="19"/>
      <c r="D109" s="20">
        <v>10</v>
      </c>
      <c r="E109" s="21">
        <f t="shared" si="3"/>
        <v>1.1102845659342488</v>
      </c>
    </row>
    <row r="110" spans="1:5" x14ac:dyDescent="0.2">
      <c r="A110" s="17" t="s">
        <v>22</v>
      </c>
      <c r="B110" s="18" t="s">
        <v>127</v>
      </c>
      <c r="C110" s="19"/>
      <c r="D110" s="20">
        <v>449</v>
      </c>
      <c r="E110" s="21">
        <f t="shared" si="3"/>
        <v>49.851777010447776</v>
      </c>
    </row>
    <row r="111" spans="1:5" x14ac:dyDescent="0.2">
      <c r="A111" s="17" t="s">
        <v>22</v>
      </c>
      <c r="B111" s="18" t="s">
        <v>128</v>
      </c>
      <c r="C111" s="19"/>
      <c r="D111" s="20">
        <v>150</v>
      </c>
      <c r="E111" s="21">
        <f t="shared" si="3"/>
        <v>16.654268489013734</v>
      </c>
    </row>
    <row r="112" spans="1:5" x14ac:dyDescent="0.2">
      <c r="A112" s="17" t="s">
        <v>20</v>
      </c>
      <c r="B112" s="18" t="s">
        <v>129</v>
      </c>
      <c r="C112" s="19"/>
      <c r="D112" s="20">
        <v>10</v>
      </c>
      <c r="E112" s="21">
        <f t="shared" si="3"/>
        <v>1.1102845659342488</v>
      </c>
    </row>
    <row r="113" spans="1:5" x14ac:dyDescent="0.2">
      <c r="A113" s="17" t="s">
        <v>20</v>
      </c>
      <c r="B113" s="18" t="s">
        <v>130</v>
      </c>
      <c r="C113" s="19"/>
      <c r="D113" s="20">
        <v>3.5</v>
      </c>
      <c r="E113" s="21">
        <f t="shared" si="3"/>
        <v>0.38859959807698713</v>
      </c>
    </row>
    <row r="114" spans="1:5" x14ac:dyDescent="0.2">
      <c r="A114" s="17" t="s">
        <v>20</v>
      </c>
      <c r="B114" s="18" t="s">
        <v>131</v>
      </c>
      <c r="C114" s="19"/>
      <c r="D114" s="20">
        <v>11</v>
      </c>
      <c r="E114" s="21">
        <f t="shared" si="3"/>
        <v>1.2213130225276738</v>
      </c>
    </row>
    <row r="115" spans="1:5" x14ac:dyDescent="0.2">
      <c r="A115" s="17" t="s">
        <v>20</v>
      </c>
      <c r="B115" s="18" t="s">
        <v>132</v>
      </c>
      <c r="C115" s="19"/>
      <c r="D115" s="20">
        <v>700</v>
      </c>
      <c r="E115" s="21">
        <f t="shared" si="3"/>
        <v>77.71991961539743</v>
      </c>
    </row>
    <row r="116" spans="1:5" x14ac:dyDescent="0.2">
      <c r="A116" s="17" t="s">
        <v>133</v>
      </c>
      <c r="B116" s="18" t="s">
        <v>134</v>
      </c>
      <c r="C116" s="19"/>
      <c r="D116" s="20">
        <v>10</v>
      </c>
      <c r="E116" s="21">
        <f t="shared" si="3"/>
        <v>1.1102845659342488</v>
      </c>
    </row>
    <row r="117" spans="1:5" x14ac:dyDescent="0.2">
      <c r="A117" s="17" t="s">
        <v>20</v>
      </c>
      <c r="B117" s="18" t="s">
        <v>135</v>
      </c>
      <c r="C117" s="19"/>
      <c r="D117" s="20">
        <v>300</v>
      </c>
      <c r="E117" s="21">
        <f t="shared" si="3"/>
        <v>33.308536978027469</v>
      </c>
    </row>
    <row r="118" spans="1:5" x14ac:dyDescent="0.2">
      <c r="A118" s="17" t="s">
        <v>20</v>
      </c>
      <c r="B118" s="18" t="s">
        <v>136</v>
      </c>
      <c r="C118" s="19"/>
      <c r="D118" s="20">
        <v>25</v>
      </c>
      <c r="E118" s="21">
        <f t="shared" si="3"/>
        <v>2.7757114148356221</v>
      </c>
    </row>
    <row r="119" spans="1:5" x14ac:dyDescent="0.2">
      <c r="A119" s="17" t="s">
        <v>137</v>
      </c>
      <c r="B119" s="18" t="s">
        <v>138</v>
      </c>
      <c r="C119" s="19"/>
      <c r="D119" s="20">
        <v>30</v>
      </c>
      <c r="E119" s="21">
        <f t="shared" si="3"/>
        <v>3.3308536978027465</v>
      </c>
    </row>
    <row r="120" spans="1:5" ht="13.5" thickBot="1" x14ac:dyDescent="0.25">
      <c r="A120" s="22"/>
      <c r="B120" s="23"/>
      <c r="C120" s="24"/>
      <c r="D120" s="24"/>
      <c r="E120" s="25"/>
    </row>
    <row r="121" spans="1:5" ht="14.25" thickTop="1" thickBot="1" x14ac:dyDescent="0.25">
      <c r="B121" s="28" t="s">
        <v>139</v>
      </c>
      <c r="C121" s="28" t="s">
        <v>29</v>
      </c>
      <c r="D121" s="60" t="s">
        <v>140</v>
      </c>
      <c r="E121" s="61">
        <f>SUM(E102:E120)</f>
        <v>367.61521978082976</v>
      </c>
    </row>
    <row r="122" spans="1:5" ht="14.25" thickTop="1" thickBot="1" x14ac:dyDescent="0.25"/>
    <row r="123" spans="1:5" ht="14.25" thickTop="1" thickBot="1" x14ac:dyDescent="0.25">
      <c r="A123" s="9" t="s">
        <v>46</v>
      </c>
      <c r="B123" s="10"/>
      <c r="C123" s="10" t="s">
        <v>10</v>
      </c>
      <c r="D123" s="10" t="s">
        <v>11</v>
      </c>
      <c r="E123" s="11" t="s">
        <v>12</v>
      </c>
    </row>
    <row r="124" spans="1:5" ht="13.5" thickTop="1" x14ac:dyDescent="0.2">
      <c r="A124" s="17" t="s">
        <v>13</v>
      </c>
      <c r="B124" s="13" t="s">
        <v>141</v>
      </c>
      <c r="C124" s="14"/>
      <c r="D124" s="15">
        <v>1</v>
      </c>
      <c r="E124" s="16">
        <f t="shared" ref="E124:E139" si="4">C124/$B$7+D124/$B$6</f>
        <v>0.11102845659342489</v>
      </c>
    </row>
    <row r="125" spans="1:5" x14ac:dyDescent="0.2">
      <c r="A125" s="17" t="s">
        <v>119</v>
      </c>
      <c r="B125" s="18" t="s">
        <v>142</v>
      </c>
      <c r="C125" s="19"/>
      <c r="D125" s="20">
        <v>10</v>
      </c>
      <c r="E125" s="21">
        <f t="shared" si="4"/>
        <v>1.1102845659342488</v>
      </c>
    </row>
    <row r="126" spans="1:5" x14ac:dyDescent="0.2">
      <c r="A126" s="17" t="s">
        <v>119</v>
      </c>
      <c r="B126" s="18" t="s">
        <v>143</v>
      </c>
      <c r="C126" s="19"/>
      <c r="D126" s="20">
        <v>50</v>
      </c>
      <c r="E126" s="21">
        <f t="shared" si="4"/>
        <v>5.5514228296712442</v>
      </c>
    </row>
    <row r="127" spans="1:5" x14ac:dyDescent="0.2">
      <c r="A127" s="17" t="s">
        <v>119</v>
      </c>
      <c r="B127" s="18" t="s">
        <v>144</v>
      </c>
      <c r="C127" s="19"/>
      <c r="D127" s="20">
        <v>1</v>
      </c>
      <c r="E127" s="21">
        <f t="shared" si="4"/>
        <v>0.11102845659342489</v>
      </c>
    </row>
    <row r="128" spans="1:5" x14ac:dyDescent="0.2">
      <c r="A128" s="17" t="s">
        <v>119</v>
      </c>
      <c r="B128" s="18" t="s">
        <v>145</v>
      </c>
      <c r="C128" s="19"/>
      <c r="D128" s="20">
        <v>3.5</v>
      </c>
      <c r="E128" s="21">
        <f t="shared" si="4"/>
        <v>0.38859959807698713</v>
      </c>
    </row>
    <row r="129" spans="1:5" x14ac:dyDescent="0.2">
      <c r="A129" s="17" t="s">
        <v>17</v>
      </c>
      <c r="B129" s="18" t="s">
        <v>146</v>
      </c>
      <c r="C129" s="19"/>
      <c r="D129" s="20">
        <v>1</v>
      </c>
      <c r="E129" s="21">
        <f t="shared" si="4"/>
        <v>0.11102845659342489</v>
      </c>
    </row>
    <row r="130" spans="1:5" x14ac:dyDescent="0.2">
      <c r="A130" s="17" t="s">
        <v>20</v>
      </c>
      <c r="B130" s="18" t="s">
        <v>147</v>
      </c>
      <c r="C130" s="19"/>
      <c r="D130" s="20">
        <f>3.5/2</f>
        <v>1.75</v>
      </c>
      <c r="E130" s="21">
        <f t="shared" si="4"/>
        <v>0.19429979903849356</v>
      </c>
    </row>
    <row r="131" spans="1:5" x14ac:dyDescent="0.2">
      <c r="A131" s="17" t="s">
        <v>148</v>
      </c>
      <c r="B131" s="18" t="s">
        <v>144</v>
      </c>
      <c r="C131" s="19"/>
      <c r="D131" s="20">
        <v>1</v>
      </c>
      <c r="E131" s="21">
        <f t="shared" si="4"/>
        <v>0.11102845659342489</v>
      </c>
    </row>
    <row r="132" spans="1:5" x14ac:dyDescent="0.2">
      <c r="A132" s="17" t="s">
        <v>148</v>
      </c>
      <c r="B132" s="18" t="s">
        <v>144</v>
      </c>
      <c r="C132" s="19"/>
      <c r="D132" s="20">
        <v>0.5</v>
      </c>
      <c r="E132" s="21">
        <f t="shared" si="4"/>
        <v>5.5514228296712445E-2</v>
      </c>
    </row>
    <row r="133" spans="1:5" x14ac:dyDescent="0.2">
      <c r="A133" s="19" t="s">
        <v>20</v>
      </c>
      <c r="B133" s="18" t="s">
        <v>149</v>
      </c>
      <c r="C133" s="19"/>
      <c r="D133" s="20">
        <v>15</v>
      </c>
      <c r="E133" s="21">
        <f t="shared" si="4"/>
        <v>1.6654268489013733</v>
      </c>
    </row>
    <row r="134" spans="1:5" x14ac:dyDescent="0.2">
      <c r="A134" s="19" t="s">
        <v>20</v>
      </c>
      <c r="B134" s="18" t="s">
        <v>150</v>
      </c>
      <c r="C134" s="19"/>
      <c r="D134" s="20">
        <v>3.5</v>
      </c>
      <c r="E134" s="21">
        <f t="shared" si="4"/>
        <v>0.38859959807698713</v>
      </c>
    </row>
    <row r="135" spans="1:5" x14ac:dyDescent="0.2">
      <c r="A135" s="19" t="s">
        <v>20</v>
      </c>
      <c r="B135" s="18" t="s">
        <v>151</v>
      </c>
      <c r="C135" s="19"/>
      <c r="D135" s="20">
        <v>2.5</v>
      </c>
      <c r="E135" s="21">
        <f t="shared" si="4"/>
        <v>0.27757114148356221</v>
      </c>
    </row>
    <row r="136" spans="1:5" x14ac:dyDescent="0.2">
      <c r="A136" s="19" t="s">
        <v>20</v>
      </c>
      <c r="B136" s="18" t="s">
        <v>152</v>
      </c>
      <c r="C136" s="19"/>
      <c r="D136" s="20">
        <v>3</v>
      </c>
      <c r="E136" s="21">
        <f t="shared" si="4"/>
        <v>0.3330853697802747</v>
      </c>
    </row>
    <row r="137" spans="1:5" x14ac:dyDescent="0.2">
      <c r="A137" s="19" t="s">
        <v>20</v>
      </c>
      <c r="B137" s="18" t="s">
        <v>153</v>
      </c>
      <c r="C137" s="19"/>
      <c r="D137" s="20">
        <v>10</v>
      </c>
      <c r="E137" s="21">
        <f t="shared" si="4"/>
        <v>1.1102845659342488</v>
      </c>
    </row>
    <row r="138" spans="1:5" x14ac:dyDescent="0.2">
      <c r="A138" s="17" t="s">
        <v>20</v>
      </c>
      <c r="B138" s="18" t="s">
        <v>154</v>
      </c>
      <c r="C138" s="19"/>
      <c r="D138" s="20">
        <f>110/2</f>
        <v>55</v>
      </c>
      <c r="E138" s="21">
        <f t="shared" si="4"/>
        <v>6.1065651126383687</v>
      </c>
    </row>
    <row r="139" spans="1:5" x14ac:dyDescent="0.2">
      <c r="A139" s="17" t="s">
        <v>20</v>
      </c>
      <c r="B139" s="18" t="s">
        <v>155</v>
      </c>
      <c r="C139" s="19"/>
      <c r="D139" s="20">
        <v>12</v>
      </c>
      <c r="E139" s="21">
        <f t="shared" si="4"/>
        <v>1.3323414791210988</v>
      </c>
    </row>
    <row r="140" spans="1:5" x14ac:dyDescent="0.2">
      <c r="A140" s="17"/>
      <c r="B140" s="18"/>
      <c r="C140" s="19"/>
      <c r="D140" s="20"/>
      <c r="E140" s="21"/>
    </row>
    <row r="141" spans="1:5" x14ac:dyDescent="0.2">
      <c r="A141" s="17"/>
      <c r="B141" s="18"/>
      <c r="C141" s="19"/>
      <c r="D141" s="20"/>
      <c r="E141" s="21"/>
    </row>
    <row r="142" spans="1:5" x14ac:dyDescent="0.2">
      <c r="A142" s="17"/>
      <c r="B142" s="18"/>
      <c r="C142" s="19"/>
      <c r="D142" s="20"/>
      <c r="E142" s="21"/>
    </row>
    <row r="143" spans="1:5" x14ac:dyDescent="0.2">
      <c r="A143" s="17"/>
      <c r="B143" s="18"/>
      <c r="C143" s="19"/>
      <c r="D143" s="20"/>
      <c r="E143" s="21"/>
    </row>
    <row r="144" spans="1:5" ht="13.5" thickBot="1" x14ac:dyDescent="0.25">
      <c r="A144" s="22"/>
      <c r="B144" s="23"/>
      <c r="C144" s="24"/>
      <c r="D144" s="24"/>
      <c r="E144" s="25"/>
    </row>
    <row r="145" spans="2:5" ht="14.25" thickTop="1" thickBot="1" x14ac:dyDescent="0.25">
      <c r="B145" s="28" t="s">
        <v>156</v>
      </c>
      <c r="C145" s="28" t="s">
        <v>29</v>
      </c>
      <c r="D145" s="62" t="s">
        <v>157</v>
      </c>
      <c r="E145" s="63">
        <f>SUM(E124:E144)</f>
        <v>18.958108963327298</v>
      </c>
    </row>
    <row r="146" spans="2:5" ht="13.5" thickTop="1" x14ac:dyDescent="0.2"/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Bolivie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 et Kevin</dc:creator>
  <cp:lastModifiedBy>Elise et Kevin</cp:lastModifiedBy>
  <dcterms:created xsi:type="dcterms:W3CDTF">2013-07-12T21:30:46Z</dcterms:created>
  <dcterms:modified xsi:type="dcterms:W3CDTF">2013-07-12T21:31:26Z</dcterms:modified>
</cp:coreProperties>
</file>